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state="hidden" r:id="rId2"/>
    <sheet name="Лист3" sheetId="3" state="hidden" r:id="rId3"/>
  </sheets>
  <calcPr calcId="145621" iterate="1" iterateDelta="0"/>
</workbook>
</file>

<file path=xl/calcChain.xml><?xml version="1.0" encoding="utf-8"?>
<calcChain xmlns="http://schemas.openxmlformats.org/spreadsheetml/2006/main">
  <c r="CP42" i="1" l="1"/>
  <c r="CK42" i="1"/>
  <c r="CF42" i="1"/>
  <c r="BV42" i="1"/>
  <c r="BL42" i="1"/>
  <c r="BE42" i="1"/>
  <c r="BD42" i="1"/>
  <c r="BB42" i="1"/>
  <c r="AW42" i="1"/>
  <c r="AR42" i="1"/>
  <c r="AJ42" i="1"/>
  <c r="AJ45" i="1" s="1"/>
  <c r="AH42" i="1"/>
  <c r="X42" i="1"/>
  <c r="S42" i="1"/>
  <c r="P42" i="1"/>
  <c r="O42" i="1"/>
  <c r="N42" i="1"/>
  <c r="H42" i="1"/>
  <c r="D42" i="1"/>
  <c r="CT41" i="1"/>
  <c r="CJ41" i="1"/>
  <c r="AB41" i="1"/>
  <c r="CT40" i="1"/>
  <c r="CJ40" i="1"/>
  <c r="BZ40" i="1"/>
  <c r="BF40" i="1"/>
  <c r="AV40" i="1"/>
  <c r="AL40" i="1"/>
  <c r="AB40" i="1"/>
  <c r="CT39" i="1"/>
  <c r="CJ39" i="1"/>
  <c r="BZ39" i="1"/>
  <c r="BO39" i="1"/>
  <c r="BN39" i="1"/>
  <c r="BM39" i="1"/>
  <c r="BF39" i="1"/>
  <c r="AV39" i="1"/>
  <c r="AL39" i="1"/>
  <c r="AB39" i="1"/>
  <c r="R39" i="1"/>
  <c r="H39" i="1"/>
  <c r="CT38" i="1"/>
  <c r="CJ38" i="1"/>
  <c r="BZ38" i="1"/>
  <c r="BQ38" i="1"/>
  <c r="BQ42" i="1" s="1"/>
  <c r="BP38" i="1"/>
  <c r="BO38" i="1"/>
  <c r="BN38" i="1"/>
  <c r="BM38" i="1"/>
  <c r="BM42" i="1" s="1"/>
  <c r="BG38" i="1"/>
  <c r="BE38" i="1"/>
  <c r="BD38" i="1"/>
  <c r="BC38" i="1"/>
  <c r="AU38" i="1"/>
  <c r="AU42" i="1" s="1"/>
  <c r="AT38" i="1"/>
  <c r="AV38" i="1" s="1"/>
  <c r="AS38" i="1"/>
  <c r="AS42" i="1" s="1"/>
  <c r="AB38" i="1"/>
  <c r="S38" i="1"/>
  <c r="Q38" i="1"/>
  <c r="P38" i="1"/>
  <c r="O38" i="1"/>
  <c r="I38" i="1"/>
  <c r="I42" i="1" s="1"/>
  <c r="I45" i="1" s="1"/>
  <c r="H38" i="1"/>
  <c r="G38" i="1"/>
  <c r="G42" i="1" s="1"/>
  <c r="F38" i="1"/>
  <c r="F42" i="1" s="1"/>
  <c r="E38" i="1"/>
  <c r="E42" i="1" s="1"/>
  <c r="E45" i="1" s="1"/>
  <c r="CJ37" i="1"/>
  <c r="CI37" i="1"/>
  <c r="CH37" i="1"/>
  <c r="CG37" i="1"/>
  <c r="BZ37" i="1"/>
  <c r="BQ37" i="1"/>
  <c r="BO37" i="1"/>
  <c r="BO42" i="1" s="1"/>
  <c r="BN37" i="1"/>
  <c r="BN42" i="1" s="1"/>
  <c r="BN45" i="1" s="1"/>
  <c r="BM37" i="1"/>
  <c r="BF37" i="1"/>
  <c r="AV37" i="1"/>
  <c r="AL37" i="1"/>
  <c r="AB37" i="1"/>
  <c r="R37" i="1"/>
  <c r="H37" i="1"/>
  <c r="CT36" i="1"/>
  <c r="CI36" i="1"/>
  <c r="CI42" i="1" s="1"/>
  <c r="CH36" i="1"/>
  <c r="CG36" i="1"/>
  <c r="CG42" i="1" s="1"/>
  <c r="CA36" i="1"/>
  <c r="CA42" i="1" s="1"/>
  <c r="BY36" i="1"/>
  <c r="BZ36" i="1" s="1"/>
  <c r="BX36" i="1"/>
  <c r="BX42" i="1" s="1"/>
  <c r="BX45" i="1" s="1"/>
  <c r="BW36" i="1"/>
  <c r="BW42" i="1" s="1"/>
  <c r="BP36" i="1"/>
  <c r="BG36" i="1"/>
  <c r="BF36" i="1"/>
  <c r="BE36" i="1"/>
  <c r="BD36" i="1"/>
  <c r="BC36" i="1"/>
  <c r="AV36" i="1"/>
  <c r="AV42" i="1" s="1"/>
  <c r="AM36" i="1"/>
  <c r="CU42" i="1" s="1"/>
  <c r="AK36" i="1"/>
  <c r="AL36" i="1" s="1"/>
  <c r="AJ36" i="1"/>
  <c r="CR42" i="1" s="1"/>
  <c r="AI36" i="1"/>
  <c r="CQ42" i="1" s="1"/>
  <c r="AB36" i="1"/>
  <c r="R36" i="1"/>
  <c r="H36" i="1"/>
  <c r="CJ35" i="1"/>
  <c r="BZ35" i="1"/>
  <c r="BZ42" i="1" s="1"/>
  <c r="BP35" i="1"/>
  <c r="BF35" i="1"/>
  <c r="AV35" i="1"/>
  <c r="AL35" i="1"/>
  <c r="AB35" i="1"/>
  <c r="R35" i="1"/>
  <c r="H35" i="1"/>
  <c r="CP31" i="1"/>
  <c r="CK31" i="1"/>
  <c r="CH31" i="1"/>
  <c r="CG31" i="1"/>
  <c r="CF31" i="1"/>
  <c r="BY31" i="1"/>
  <c r="BV31" i="1"/>
  <c r="BQ31" i="1"/>
  <c r="BM31" i="1"/>
  <c r="BL31" i="1"/>
  <c r="BG31" i="1"/>
  <c r="BE31" i="1"/>
  <c r="BD31" i="1"/>
  <c r="BC31" i="1"/>
  <c r="BB31" i="1"/>
  <c r="AW31" i="1"/>
  <c r="AW45" i="1" s="1"/>
  <c r="AT31" i="1"/>
  <c r="AS31" i="1"/>
  <c r="AS45" i="1" s="1"/>
  <c r="AR31" i="1"/>
  <c r="AM31" i="1"/>
  <c r="AK31" i="1"/>
  <c r="AJ31" i="1"/>
  <c r="AH31" i="1"/>
  <c r="AC31" i="1"/>
  <c r="AC42" i="1" s="1"/>
  <c r="Y31" i="1"/>
  <c r="Y42" i="1" s="1"/>
  <c r="Y45" i="1" s="1"/>
  <c r="X31" i="1"/>
  <c r="N31" i="1"/>
  <c r="I31" i="1"/>
  <c r="G31" i="1"/>
  <c r="F31" i="1"/>
  <c r="E31" i="1"/>
  <c r="D31" i="1"/>
  <c r="CJ29" i="1"/>
  <c r="BO29" i="1"/>
  <c r="BP29" i="1" s="1"/>
  <c r="BN29" i="1"/>
  <c r="BM29" i="1"/>
  <c r="BF29" i="1"/>
  <c r="R29" i="1"/>
  <c r="CT28" i="1"/>
  <c r="CJ28" i="1"/>
  <c r="BZ28" i="1"/>
  <c r="BP28" i="1"/>
  <c r="BF28" i="1"/>
  <c r="AV28" i="1"/>
  <c r="AL28" i="1"/>
  <c r="AB28" i="1"/>
  <c r="Q28" i="1"/>
  <c r="P28" i="1"/>
  <c r="R28" i="1" s="1"/>
  <c r="O28" i="1"/>
  <c r="H28" i="1"/>
  <c r="CT27" i="1"/>
  <c r="CK27" i="1"/>
  <c r="CJ27" i="1"/>
  <c r="CI27" i="1"/>
  <c r="CH27" i="1"/>
  <c r="CG27" i="1"/>
  <c r="CA27" i="1"/>
  <c r="CA31" i="1" s="1"/>
  <c r="BY27" i="1"/>
  <c r="BX27" i="1"/>
  <c r="BX31" i="1" s="1"/>
  <c r="BW27" i="1"/>
  <c r="BW31" i="1" s="1"/>
  <c r="BQ27" i="1"/>
  <c r="BO27" i="1"/>
  <c r="BN27" i="1"/>
  <c r="BN31" i="1" s="1"/>
  <c r="BM27" i="1"/>
  <c r="BF27" i="1"/>
  <c r="AW27" i="1"/>
  <c r="AV27" i="1"/>
  <c r="AU27" i="1"/>
  <c r="AU31" i="1" s="1"/>
  <c r="AT27" i="1"/>
  <c r="AS27" i="1"/>
  <c r="AL27" i="1"/>
  <c r="AC27" i="1"/>
  <c r="AA27" i="1"/>
  <c r="Z27" i="1"/>
  <c r="Y27" i="1"/>
  <c r="S27" i="1"/>
  <c r="S31" i="1" s="1"/>
  <c r="S45" i="1" s="1"/>
  <c r="Q27" i="1"/>
  <c r="R27" i="1" s="1"/>
  <c r="P27" i="1"/>
  <c r="P31" i="1" s="1"/>
  <c r="O27" i="1"/>
  <c r="O31" i="1" s="1"/>
  <c r="H27" i="1"/>
  <c r="CU26" i="1"/>
  <c r="CS26" i="1"/>
  <c r="CR26" i="1"/>
  <c r="CQ26" i="1"/>
  <c r="CJ26" i="1"/>
  <c r="BZ26" i="1"/>
  <c r="BO26" i="1"/>
  <c r="BN26" i="1"/>
  <c r="BM26" i="1"/>
  <c r="BF26" i="1"/>
  <c r="AV26" i="1"/>
  <c r="AL26" i="1"/>
  <c r="AB26" i="1"/>
  <c r="R26" i="1"/>
  <c r="H26" i="1"/>
  <c r="CT25" i="1"/>
  <c r="CK25" i="1"/>
  <c r="CI25" i="1"/>
  <c r="CH25" i="1"/>
  <c r="CG25" i="1"/>
  <c r="BZ25" i="1"/>
  <c r="BP25" i="1"/>
  <c r="BF25" i="1"/>
  <c r="AV25" i="1"/>
  <c r="AI25" i="1"/>
  <c r="AB25" i="1"/>
  <c r="R25" i="1"/>
  <c r="H25" i="1"/>
  <c r="CT24" i="1"/>
  <c r="CJ24" i="1"/>
  <c r="BZ24" i="1"/>
  <c r="BP24" i="1"/>
  <c r="BF24" i="1"/>
  <c r="BF31" i="1" s="1"/>
  <c r="AV24" i="1"/>
  <c r="AL24" i="1"/>
  <c r="AB24" i="1"/>
  <c r="R24" i="1"/>
  <c r="H24" i="1"/>
  <c r="CU23" i="1"/>
  <c r="CU31" i="1" s="1"/>
  <c r="CS23" i="1"/>
  <c r="CT23" i="1" s="1"/>
  <c r="CR23" i="1"/>
  <c r="CR31" i="1" s="1"/>
  <c r="CQ23" i="1"/>
  <c r="CJ23" i="1"/>
  <c r="BZ23" i="1"/>
  <c r="BP23" i="1"/>
  <c r="BF23" i="1"/>
  <c r="AV23" i="1"/>
  <c r="AV31" i="1" s="1"/>
  <c r="AL23" i="1"/>
  <c r="AB23" i="1"/>
  <c r="R23" i="1"/>
  <c r="H23" i="1"/>
  <c r="H31" i="1" s="1"/>
  <c r="BY19" i="1"/>
  <c r="BO19" i="1"/>
  <c r="BN19" i="1"/>
  <c r="BM19" i="1"/>
  <c r="BE19" i="1"/>
  <c r="AW19" i="1"/>
  <c r="AU19" i="1"/>
  <c r="AT19" i="1"/>
  <c r="AS19" i="1"/>
  <c r="AM19" i="1"/>
  <c r="AK19" i="1"/>
  <c r="AJ19" i="1"/>
  <c r="AI19" i="1"/>
  <c r="AB19" i="1"/>
  <c r="AA19" i="1"/>
  <c r="Z19" i="1"/>
  <c r="Y19" i="1"/>
  <c r="S19" i="1"/>
  <c r="R19" i="1"/>
  <c r="Q19" i="1"/>
  <c r="P19" i="1"/>
  <c r="O19" i="1"/>
  <c r="I19" i="1"/>
  <c r="H19" i="1"/>
  <c r="G19" i="1"/>
  <c r="F19" i="1"/>
  <c r="E19" i="1"/>
  <c r="CJ17" i="1"/>
  <c r="BZ17" i="1"/>
  <c r="BQ17" i="1"/>
  <c r="BQ19" i="1" s="1"/>
  <c r="BP17" i="1"/>
  <c r="BP19" i="1" s="1"/>
  <c r="BF17" i="1"/>
  <c r="AW17" i="1"/>
  <c r="AV17" i="1"/>
  <c r="CU16" i="1"/>
  <c r="CU19" i="1" s="1"/>
  <c r="CS16" i="1"/>
  <c r="CS19" i="1" s="1"/>
  <c r="CR16" i="1"/>
  <c r="CQ16" i="1"/>
  <c r="CQ19" i="1" s="1"/>
  <c r="CK16" i="1"/>
  <c r="CK19" i="1" s="1"/>
  <c r="CI16" i="1"/>
  <c r="CH16" i="1"/>
  <c r="CH19" i="1" s="1"/>
  <c r="CG16" i="1"/>
  <c r="CG19" i="1" s="1"/>
  <c r="CA16" i="1"/>
  <c r="CA19" i="1" s="1"/>
  <c r="BZ16" i="1"/>
  <c r="BZ19" i="1" s="1"/>
  <c r="BY16" i="1"/>
  <c r="BX16" i="1"/>
  <c r="BX19" i="1" s="1"/>
  <c r="BW16" i="1"/>
  <c r="BW19" i="1" s="1"/>
  <c r="BP16" i="1"/>
  <c r="BG16" i="1"/>
  <c r="BE16" i="1"/>
  <c r="BD16" i="1"/>
  <c r="BC16" i="1"/>
  <c r="BC19" i="1" s="1"/>
  <c r="AV16" i="1"/>
  <c r="AL16" i="1"/>
  <c r="AL19" i="1" s="1"/>
  <c r="AC16" i="1"/>
  <c r="AC19" i="1" s="1"/>
  <c r="R16" i="1"/>
  <c r="CU12" i="1"/>
  <c r="CS12" i="1"/>
  <c r="CR12" i="1"/>
  <c r="CQ12" i="1"/>
  <c r="CP12" i="1"/>
  <c r="CK12" i="1"/>
  <c r="CG12" i="1"/>
  <c r="CF12" i="1"/>
  <c r="BX12" i="1"/>
  <c r="BV12" i="1"/>
  <c r="BQ12" i="1"/>
  <c r="BO12" i="1"/>
  <c r="BN12" i="1"/>
  <c r="BM12" i="1"/>
  <c r="BL12" i="1"/>
  <c r="BD12" i="1"/>
  <c r="BB12" i="1"/>
  <c r="AW12" i="1"/>
  <c r="AU12" i="1"/>
  <c r="AT12" i="1"/>
  <c r="AS12" i="1"/>
  <c r="AR12" i="1"/>
  <c r="AK12" i="1"/>
  <c r="AJ12" i="1"/>
  <c r="AI12" i="1"/>
  <c r="AH12" i="1"/>
  <c r="AC12" i="1"/>
  <c r="AA12" i="1"/>
  <c r="Z12" i="1"/>
  <c r="Y12" i="1"/>
  <c r="X12" i="1"/>
  <c r="S12" i="1"/>
  <c r="Q12" i="1"/>
  <c r="N12" i="1"/>
  <c r="I12" i="1"/>
  <c r="E12" i="1"/>
  <c r="D12" i="1"/>
  <c r="BZ11" i="1"/>
  <c r="BY10" i="1"/>
  <c r="BZ10" i="1" s="1"/>
  <c r="BX10" i="1"/>
  <c r="BW10" i="1"/>
  <c r="BF10" i="1"/>
  <c r="AV10" i="1"/>
  <c r="Q10" i="1"/>
  <c r="P10" i="1"/>
  <c r="O10" i="1"/>
  <c r="R10" i="1" s="1"/>
  <c r="H10" i="1"/>
  <c r="CT9" i="1"/>
  <c r="CJ9" i="1"/>
  <c r="BZ9" i="1"/>
  <c r="BF9" i="1"/>
  <c r="AV9" i="1"/>
  <c r="AL9" i="1"/>
  <c r="AB9" i="1"/>
  <c r="R9" i="1"/>
  <c r="H9" i="1"/>
  <c r="CT8" i="1"/>
  <c r="CJ8" i="1"/>
  <c r="CI8" i="1"/>
  <c r="CI12" i="1" s="1"/>
  <c r="CH8" i="1"/>
  <c r="CH12" i="1" s="1"/>
  <c r="CG8" i="1"/>
  <c r="BZ8" i="1"/>
  <c r="BP8" i="1"/>
  <c r="BF8" i="1"/>
  <c r="AV8" i="1"/>
  <c r="AL8" i="1"/>
  <c r="AB8" i="1"/>
  <c r="Q8" i="1"/>
  <c r="P8" i="1"/>
  <c r="O8" i="1"/>
  <c r="O12" i="1" s="1"/>
  <c r="H8" i="1"/>
  <c r="CT7" i="1"/>
  <c r="CJ7" i="1"/>
  <c r="BZ7" i="1"/>
  <c r="BP7" i="1"/>
  <c r="BG7" i="1"/>
  <c r="BG12" i="1" s="1"/>
  <c r="BE7" i="1"/>
  <c r="BE12" i="1" s="1"/>
  <c r="BD7" i="1"/>
  <c r="BC7" i="1"/>
  <c r="BC12" i="1" s="1"/>
  <c r="AV7" i="1"/>
  <c r="AL7" i="1"/>
  <c r="AB7" i="1"/>
  <c r="R7" i="1"/>
  <c r="G7" i="1"/>
  <c r="G12" i="1" s="1"/>
  <c r="F7" i="1"/>
  <c r="F12" i="1" s="1"/>
  <c r="E7" i="1"/>
  <c r="CT6" i="1"/>
  <c r="CJ6" i="1"/>
  <c r="CJ12" i="1" s="1"/>
  <c r="BZ6" i="1"/>
  <c r="BP6" i="1"/>
  <c r="BF6" i="1"/>
  <c r="AV6" i="1"/>
  <c r="AV12" i="1" s="1"/>
  <c r="AM6" i="1"/>
  <c r="AM12" i="1" s="1"/>
  <c r="AL6" i="1"/>
  <c r="AB6" i="1"/>
  <c r="R6" i="1"/>
  <c r="H6" i="1"/>
  <c r="CT5" i="1"/>
  <c r="CJ5" i="1"/>
  <c r="CA5" i="1"/>
  <c r="CA12" i="1" s="1"/>
  <c r="BX5" i="1"/>
  <c r="BW5" i="1"/>
  <c r="BP5" i="1"/>
  <c r="BP12" i="1" s="1"/>
  <c r="BF5" i="1"/>
  <c r="AV5" i="1"/>
  <c r="AL5" i="1"/>
  <c r="AB5" i="1"/>
  <c r="AB12" i="1" s="1"/>
  <c r="R5" i="1"/>
  <c r="H5" i="1"/>
  <c r="R12" i="1" l="1"/>
  <c r="CA45" i="1"/>
  <c r="BF7" i="1"/>
  <c r="BF12" i="1" s="1"/>
  <c r="R8" i="1"/>
  <c r="BY12" i="1"/>
  <c r="BO31" i="1"/>
  <c r="BO45" i="1" s="1"/>
  <c r="BP26" i="1"/>
  <c r="CT26" i="1"/>
  <c r="CT31" i="1" s="1"/>
  <c r="O45" i="1"/>
  <c r="AC45" i="1"/>
  <c r="CS31" i="1"/>
  <c r="CU45" i="1"/>
  <c r="BW45" i="1"/>
  <c r="CG45" i="1"/>
  <c r="F45" i="1"/>
  <c r="BM45" i="1"/>
  <c r="BP39" i="1"/>
  <c r="CK45" i="1"/>
  <c r="AL12" i="1"/>
  <c r="BW12" i="1"/>
  <c r="BZ5" i="1"/>
  <c r="BZ12" i="1" s="1"/>
  <c r="CT12" i="1"/>
  <c r="AV19" i="1"/>
  <c r="AV45" i="1" s="1"/>
  <c r="CT16" i="1"/>
  <c r="CT19" i="1" s="1"/>
  <c r="CR19" i="1"/>
  <c r="CR45" i="1" s="1"/>
  <c r="CQ31" i="1"/>
  <c r="CQ45" i="1" s="1"/>
  <c r="CJ25" i="1"/>
  <c r="CJ31" i="1" s="1"/>
  <c r="CI31" i="1"/>
  <c r="CI45" i="1" s="1"/>
  <c r="Z31" i="1"/>
  <c r="Z42" i="1"/>
  <c r="Z45" i="1" s="1"/>
  <c r="BP27" i="1"/>
  <c r="Q31" i="1"/>
  <c r="CJ36" i="1"/>
  <c r="CJ42" i="1" s="1"/>
  <c r="G45" i="1"/>
  <c r="BF38" i="1"/>
  <c r="BF42" i="1" s="1"/>
  <c r="BF45" i="1" s="1"/>
  <c r="BE45" i="1"/>
  <c r="BF16" i="1"/>
  <c r="BF19" i="1" s="1"/>
  <c r="BD19" i="1"/>
  <c r="BD45" i="1" s="1"/>
  <c r="AB31" i="1"/>
  <c r="CT42" i="1"/>
  <c r="AL42" i="1"/>
  <c r="AU45" i="1"/>
  <c r="H7" i="1"/>
  <c r="H12" i="1" s="1"/>
  <c r="H45" i="1" s="1"/>
  <c r="P12" i="1"/>
  <c r="P45" i="1" s="1"/>
  <c r="CJ16" i="1"/>
  <c r="CJ19" i="1" s="1"/>
  <c r="CI19" i="1"/>
  <c r="BP31" i="1"/>
  <c r="R31" i="1"/>
  <c r="AI31" i="1"/>
  <c r="AL25" i="1"/>
  <c r="AL31" i="1" s="1"/>
  <c r="R42" i="1"/>
  <c r="R45" i="1" s="1"/>
  <c r="BC42" i="1"/>
  <c r="BC45" i="1" s="1"/>
  <c r="BG42" i="1"/>
  <c r="Q42" i="1"/>
  <c r="Q45" i="1" s="1"/>
  <c r="R38" i="1"/>
  <c r="AK42" i="1"/>
  <c r="AK45" i="1" s="1"/>
  <c r="BY42" i="1"/>
  <c r="BY45" i="1" s="1"/>
  <c r="CS42" i="1"/>
  <c r="CS45" i="1" s="1"/>
  <c r="AB27" i="1"/>
  <c r="AA31" i="1"/>
  <c r="AA42" i="1" s="1"/>
  <c r="AA45" i="1" s="1"/>
  <c r="BP37" i="1"/>
  <c r="BP42" i="1" s="1"/>
  <c r="AT42" i="1"/>
  <c r="AT45" i="1" s="1"/>
  <c r="CH42" i="1"/>
  <c r="CH45" i="1" s="1"/>
  <c r="BZ27" i="1"/>
  <c r="BZ31" i="1" s="1"/>
  <c r="BZ45" i="1" s="1"/>
  <c r="AI42" i="1"/>
  <c r="AI45" i="1" s="1"/>
  <c r="AM42" i="1"/>
  <c r="AM45" i="1" s="1"/>
  <c r="AB42" i="1" l="1"/>
  <c r="AB45" i="1" s="1"/>
  <c r="CJ45" i="1"/>
  <c r="AL45" i="1"/>
  <c r="BP45" i="1"/>
  <c r="CT45" i="1"/>
</calcChain>
</file>

<file path=xl/sharedStrings.xml><?xml version="1.0" encoding="utf-8"?>
<sst xmlns="http://schemas.openxmlformats.org/spreadsheetml/2006/main" count="485" uniqueCount="149">
  <si>
    <t>Приём пищи</t>
  </si>
  <si>
    <t>№ рецептуры</t>
  </si>
  <si>
    <t>Наименование блюда</t>
  </si>
  <si>
    <t>Выход блюда, г</t>
  </si>
  <si>
    <t>Пищевые вещества</t>
  </si>
  <si>
    <t>Энергетическая ценность, ккал</t>
  </si>
  <si>
    <t>Витамин С</t>
  </si>
  <si>
    <t>Б</t>
  </si>
  <si>
    <t>Ж</t>
  </si>
  <si>
    <t>У</t>
  </si>
  <si>
    <t>День 1=10</t>
  </si>
  <si>
    <t>День 2=8</t>
  </si>
  <si>
    <t>День 3=2</t>
  </si>
  <si>
    <t>День 4=5</t>
  </si>
  <si>
    <t>День 5=6</t>
  </si>
  <si>
    <t>День 6=3</t>
  </si>
  <si>
    <t>День 7=1</t>
  </si>
  <si>
    <t>День 8=9</t>
  </si>
  <si>
    <t>День 9=4</t>
  </si>
  <si>
    <t>День 10=7</t>
  </si>
  <si>
    <t>Завтрак</t>
  </si>
  <si>
    <t xml:space="preserve">Сыр российский </t>
  </si>
  <si>
    <t>Омлет паровой с мясом</t>
  </si>
  <si>
    <t>Каша гречнево-пшёная жидкая с сахаром</t>
  </si>
  <si>
    <t>Суп молочный с крупой</t>
  </si>
  <si>
    <t>Масло сливочное</t>
  </si>
  <si>
    <t>Бутерброд с маслом сливочным, с сыром российским</t>
  </si>
  <si>
    <t>Каша манная жидкая с сахаром</t>
  </si>
  <si>
    <t>Бутерброд с повидлом</t>
  </si>
  <si>
    <t>Пудинг из творога с рисом и изюмом</t>
  </si>
  <si>
    <t>Горшек зелёный консервированный</t>
  </si>
  <si>
    <t>Омлет с морковью</t>
  </si>
  <si>
    <t>Сыр порциями Российский</t>
  </si>
  <si>
    <t>Каша пшённая жидкая с сахаром</t>
  </si>
  <si>
    <t>Каша овсяная жидкая  с сахаром</t>
  </si>
  <si>
    <t>Каша рисовая жидкая с сахаром</t>
  </si>
  <si>
    <t xml:space="preserve">Омлет с картофелем </t>
  </si>
  <si>
    <t>Суп молочный с  крупой</t>
  </si>
  <si>
    <t>Сметана</t>
  </si>
  <si>
    <t>Оладьи из печени  "по-Кунцевски"</t>
  </si>
  <si>
    <t>Чай с молоком                  180/10</t>
  </si>
  <si>
    <t>Сырники из творога с картофелем</t>
  </si>
  <si>
    <t>Запеканка из макарон с творогом</t>
  </si>
  <si>
    <t>Кофейный напиток с молоком</t>
  </si>
  <si>
    <t>Оладьи из творога</t>
  </si>
  <si>
    <t>Запеканка из печени с рисом</t>
  </si>
  <si>
    <t>Омлет с зеленым горошком</t>
  </si>
  <si>
    <t>Суп молочный с тыквой и крупой</t>
  </si>
  <si>
    <t>Какао с молоком</t>
  </si>
  <si>
    <t>Хлеб пшеничный</t>
  </si>
  <si>
    <t>Салат из моркови с сахаром</t>
  </si>
  <si>
    <t>Яйцо отварное</t>
  </si>
  <si>
    <t>Фрукты свежие</t>
  </si>
  <si>
    <t>Чай с сахаром                     180/10</t>
  </si>
  <si>
    <t>Хлеб ржаной, ржано-пшеничный</t>
  </si>
  <si>
    <t>Фактическое содержание, г</t>
  </si>
  <si>
    <t>Норма, г, не менее</t>
  </si>
  <si>
    <t>400-550</t>
  </si>
  <si>
    <t>2 завтрак</t>
  </si>
  <si>
    <t xml:space="preserve">                                                      2 завтрак</t>
  </si>
  <si>
    <t>Сок овощной, фруктовый и ягодный</t>
  </si>
  <si>
    <t>Напиток кисломолочный</t>
  </si>
  <si>
    <t>Напиток витаминизированный (готовый)</t>
  </si>
  <si>
    <t>*</t>
  </si>
  <si>
    <t>Сок  овощной, фруктовый и ягодный</t>
  </si>
  <si>
    <t xml:space="preserve">Сок  овощной, фруктовый и ягодный </t>
  </si>
  <si>
    <t>Кондитерское изделие</t>
  </si>
  <si>
    <t>Обед</t>
  </si>
  <si>
    <t>Салат из квашенной капусты с зёлёным горошком</t>
  </si>
  <si>
    <t>Салат из свёклы с яблоками</t>
  </si>
  <si>
    <t>Салат из свеклы с огурцами солеными</t>
  </si>
  <si>
    <t>Салат из квашеной капусты с зел.горошеом</t>
  </si>
  <si>
    <t>Салат из кукурузы (консервированной)</t>
  </si>
  <si>
    <t>*45</t>
  </si>
  <si>
    <t>Винегрет овощной</t>
  </si>
  <si>
    <t>Салат из квашенной капусты</t>
  </si>
  <si>
    <t>Салат из солёных огурцов с зелёным горошком</t>
  </si>
  <si>
    <t>Салат из свёклы с зелёным горошком</t>
  </si>
  <si>
    <t>Суп картофельный с макаронными изделиями</t>
  </si>
  <si>
    <t xml:space="preserve">Рассольник ленинградский </t>
  </si>
  <si>
    <t>Щи из квашенной капусты с картофелем</t>
  </si>
  <si>
    <t>* 216</t>
  </si>
  <si>
    <t>Суп с макаронными изделиями</t>
  </si>
  <si>
    <t xml:space="preserve"> Борщ с квашеной капустой и картофелем</t>
  </si>
  <si>
    <t>Суп картофельный с бобовыми</t>
  </si>
  <si>
    <t>Суп с рыбными фрикадельками</t>
  </si>
  <si>
    <t>Суп картофельный с крупой</t>
  </si>
  <si>
    <t xml:space="preserve">Борщ из квашеной капусты с картофелем </t>
  </si>
  <si>
    <t>Суп картофельный с клецками 170/10</t>
  </si>
  <si>
    <t>Мясо тушеное с овощами в соусе</t>
  </si>
  <si>
    <t>Птица отварная (с соусом сметанным) 65/25</t>
  </si>
  <si>
    <t>Гуляш из отварной говядины  60/60</t>
  </si>
  <si>
    <t>Суфле из отварного мяса с рисом</t>
  </si>
  <si>
    <t>Шницель рубленый (из говядины)</t>
  </si>
  <si>
    <t>Фрикадельки из птицы</t>
  </si>
  <si>
    <t>Суфле мясное из говядины с тыквой</t>
  </si>
  <si>
    <t>Котлеты рыбные любительские</t>
  </si>
  <si>
    <t>Биточки рубленые из птицы</t>
  </si>
  <si>
    <t xml:space="preserve">Голубцы ленивые </t>
  </si>
  <si>
    <t>Кисель из сушеных фруктов</t>
  </si>
  <si>
    <t>Картофель отварной</t>
  </si>
  <si>
    <t xml:space="preserve">Каша рассыпчатая </t>
  </si>
  <si>
    <t>*714</t>
  </si>
  <si>
    <t>Рагу овощное с картофелем</t>
  </si>
  <si>
    <t>Макароны отварные с маслом</t>
  </si>
  <si>
    <t>Пюре картофельное</t>
  </si>
  <si>
    <t>Пюре картофельное с морковью</t>
  </si>
  <si>
    <t xml:space="preserve">Соус сметанный с томатом </t>
  </si>
  <si>
    <t>Компот из свежих плодов</t>
  </si>
  <si>
    <t>Кисель из сока натурального</t>
  </si>
  <si>
    <t>Компот из сушеных фруктов</t>
  </si>
  <si>
    <t>Кисель молочный</t>
  </si>
  <si>
    <t>Компот из  сушеных фруктов</t>
  </si>
  <si>
    <t>600-800</t>
  </si>
  <si>
    <t>Ужин (уплотнённый полдник)</t>
  </si>
  <si>
    <t>Каша рассыпчатая</t>
  </si>
  <si>
    <t>Салат из картофеля с солёными огурцами</t>
  </si>
  <si>
    <t>Икра овощная</t>
  </si>
  <si>
    <t>Салат из моркови с яблоками</t>
  </si>
  <si>
    <t>Салат из свеклы с зеленым горошком</t>
  </si>
  <si>
    <t>Сельдь с луком</t>
  </si>
  <si>
    <t>Салат из картофеля с солеными оругцами</t>
  </si>
  <si>
    <t>Салат из белокочан. капусты</t>
  </si>
  <si>
    <t>Печеньпо-стогановски с соусом 50/30</t>
  </si>
  <si>
    <t>Рыба, запечённая в омлете</t>
  </si>
  <si>
    <t>Тефтели рыбные тушёные</t>
  </si>
  <si>
    <t xml:space="preserve">Запеканка из творога с морковью </t>
  </si>
  <si>
    <t>Запеканка картофельная с мясом или печенью</t>
  </si>
  <si>
    <t xml:space="preserve">Пудинг из творога с рисом запеченый </t>
  </si>
  <si>
    <t>Тефтели из говядины</t>
  </si>
  <si>
    <t>Зразы куриные с омлетом и овощами</t>
  </si>
  <si>
    <t>Кнели рыбные</t>
  </si>
  <si>
    <t>Картофель в молоке</t>
  </si>
  <si>
    <t>Соус фруктовый</t>
  </si>
  <si>
    <t>Коржики молочные</t>
  </si>
  <si>
    <t>Капуста тушеная</t>
  </si>
  <si>
    <t>Молоко кипяченое</t>
  </si>
  <si>
    <t>Кекс "Детский"</t>
  </si>
  <si>
    <t>Пирожки печеные из дрожжевого теста</t>
  </si>
  <si>
    <t>Крендель сахарный</t>
  </si>
  <si>
    <t xml:space="preserve">Кофейный напиток с молоком </t>
  </si>
  <si>
    <t xml:space="preserve">Булочка "Розовая" </t>
  </si>
  <si>
    <t>Булочка "Осенняя"</t>
  </si>
  <si>
    <t xml:space="preserve">Пирожки печёные из дрожжевого теста </t>
  </si>
  <si>
    <t>Ватрушка с творогом</t>
  </si>
  <si>
    <t>*475</t>
  </si>
  <si>
    <t>Булочка обогащенная с изюмом</t>
  </si>
  <si>
    <t>450-600</t>
  </si>
  <si>
    <t>ИТОГО за 1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</si>
</sst>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3">
    <xf numFmtId="0" fontId="0" fillId="0" borderId="0" xfId="0"/>
    <xf numFmtId="0" fontId="3" fillId="2" borderId="1" xfId="0" applyFont="1" applyFill="1" applyBorder="1" applyAlignment="1">
      <alignment horizontal="center" vertical="top" wrapText="1"/>
    </xf>
    <xf numFmtId="164" fontId="3" fillId="2" borderId="1" xfId="0" applyNumberFormat="1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164" fontId="4" fillId="2" borderId="1" xfId="0" applyNumberFormat="1" applyFont="1" applyFill="1" applyBorder="1" applyAlignment="1">
      <alignment horizontal="center" vertical="top" wrapText="1"/>
    </xf>
    <xf numFmtId="0" fontId="1" fillId="4" borderId="1" xfId="0" applyFont="1" applyFill="1" applyBorder="1"/>
    <xf numFmtId="0" fontId="5" fillId="4" borderId="1" xfId="0" applyFont="1" applyFill="1" applyBorder="1"/>
    <xf numFmtId="164" fontId="1" fillId="4" borderId="1" xfId="0" applyNumberFormat="1" applyFont="1" applyFill="1" applyBorder="1"/>
    <xf numFmtId="164" fontId="5" fillId="4" borderId="1" xfId="0" applyNumberFormat="1" applyFont="1" applyFill="1" applyBorder="1"/>
    <xf numFmtId="0" fontId="3" fillId="0" borderId="1" xfId="0" applyFont="1" applyBorder="1"/>
    <xf numFmtId="0" fontId="5" fillId="5" borderId="1" xfId="0" applyFont="1" applyFill="1" applyBorder="1"/>
    <xf numFmtId="0" fontId="1" fillId="5" borderId="1" xfId="0" applyFont="1" applyFill="1" applyBorder="1"/>
    <xf numFmtId="0" fontId="1" fillId="6" borderId="1" xfId="0" applyFont="1" applyFill="1" applyBorder="1"/>
    <xf numFmtId="164" fontId="1" fillId="6" borderId="1" xfId="0" applyNumberFormat="1" applyFont="1" applyFill="1" applyBorder="1"/>
    <xf numFmtId="2" fontId="5" fillId="6" borderId="1" xfId="0" applyNumberFormat="1" applyFont="1" applyFill="1" applyBorder="1"/>
    <xf numFmtId="0" fontId="4" fillId="0" borderId="1" xfId="0" applyFont="1" applyBorder="1"/>
    <xf numFmtId="0" fontId="5" fillId="0" borderId="0" xfId="0" applyFont="1" applyFill="1"/>
    <xf numFmtId="0" fontId="5" fillId="0" borderId="7" xfId="0" applyFont="1" applyFill="1" applyBorder="1"/>
    <xf numFmtId="0" fontId="5" fillId="0" borderId="1" xfId="0" applyFont="1" applyFill="1" applyBorder="1"/>
    <xf numFmtId="0" fontId="1" fillId="0" borderId="1" xfId="0" applyFont="1" applyFill="1" applyBorder="1"/>
    <xf numFmtId="0" fontId="5" fillId="0" borderId="1" xfId="0" applyFont="1" applyFill="1" applyBorder="1" applyAlignment="1">
      <alignment wrapText="1"/>
    </xf>
    <xf numFmtId="2" fontId="1" fillId="6" borderId="1" xfId="0" applyNumberFormat="1" applyFont="1" applyFill="1" applyBorder="1"/>
    <xf numFmtId="0" fontId="5" fillId="6" borderId="1" xfId="0" applyFont="1" applyFill="1" applyBorder="1"/>
    <xf numFmtId="0" fontId="1" fillId="0" borderId="1" xfId="0" applyFont="1" applyBorder="1"/>
    <xf numFmtId="0" fontId="5" fillId="0" borderId="1" xfId="0" applyFont="1" applyBorder="1"/>
    <xf numFmtId="0" fontId="1" fillId="0" borderId="0" xfId="0" applyFont="1" applyFill="1"/>
    <xf numFmtId="164" fontId="5" fillId="6" borderId="1" xfId="0" applyNumberFormat="1" applyFont="1" applyFill="1" applyBorder="1"/>
    <xf numFmtId="0" fontId="1" fillId="7" borderId="1" xfId="0" applyFont="1" applyFill="1" applyBorder="1"/>
    <xf numFmtId="0" fontId="5" fillId="0" borderId="3" xfId="0" applyFont="1" applyFill="1" applyBorder="1"/>
    <xf numFmtId="0" fontId="1" fillId="8" borderId="1" xfId="0" applyFont="1" applyFill="1" applyBorder="1"/>
    <xf numFmtId="2" fontId="1" fillId="8" borderId="1" xfId="0" applyNumberFormat="1" applyFont="1" applyFill="1" applyBorder="1"/>
    <xf numFmtId="2" fontId="1" fillId="7" borderId="1" xfId="0" applyNumberFormat="1" applyFont="1" applyFill="1" applyBorder="1"/>
    <xf numFmtId="0" fontId="5" fillId="0" borderId="8" xfId="0" applyFont="1" applyFill="1" applyBorder="1"/>
    <xf numFmtId="164" fontId="5" fillId="0" borderId="1" xfId="0" applyNumberFormat="1" applyFont="1" applyBorder="1"/>
    <xf numFmtId="2" fontId="1" fillId="6" borderId="2" xfId="0" applyNumberFormat="1" applyFont="1" applyFill="1" applyBorder="1"/>
    <xf numFmtId="164" fontId="1" fillId="0" borderId="1" xfId="0" applyNumberFormat="1" applyFont="1" applyBorder="1"/>
    <xf numFmtId="2" fontId="5" fillId="0" borderId="1" xfId="0" applyNumberFormat="1" applyFont="1" applyBorder="1"/>
    <xf numFmtId="0" fontId="5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1" fillId="9" borderId="1" xfId="0" applyFont="1" applyFill="1" applyBorder="1"/>
    <xf numFmtId="0" fontId="5" fillId="9" borderId="1" xfId="0" applyFont="1" applyFill="1" applyBorder="1"/>
    <xf numFmtId="164" fontId="1" fillId="9" borderId="1" xfId="0" applyNumberFormat="1" applyFont="1" applyFill="1" applyBorder="1"/>
    <xf numFmtId="164" fontId="5" fillId="9" borderId="1" xfId="0" applyNumberFormat="1" applyFont="1" applyFill="1" applyBorder="1"/>
    <xf numFmtId="164" fontId="5" fillId="9" borderId="7" xfId="0" applyNumberFormat="1" applyFont="1" applyFill="1" applyBorder="1"/>
    <xf numFmtId="0" fontId="2" fillId="0" borderId="1" xfId="0" applyFont="1" applyBorder="1"/>
    <xf numFmtId="164" fontId="2" fillId="0" borderId="1" xfId="0" applyNumberFormat="1" applyFont="1" applyBorder="1"/>
    <xf numFmtId="0" fontId="3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2" fontId="5" fillId="6" borderId="1" xfId="0" applyNumberFormat="1" applyFont="1" applyFill="1" applyBorder="1" applyAlignment="1">
      <alignment horizontal="right"/>
    </xf>
    <xf numFmtId="0" fontId="5" fillId="0" borderId="1" xfId="0" applyNumberFormat="1" applyFont="1" applyFill="1" applyBorder="1" applyAlignment="1">
      <alignment horizontal="right"/>
    </xf>
    <xf numFmtId="164" fontId="1" fillId="5" borderId="1" xfId="0" applyNumberFormat="1" applyFont="1" applyFill="1" applyBorder="1"/>
    <xf numFmtId="0" fontId="5" fillId="0" borderId="5" xfId="0" applyFont="1" applyFill="1" applyBorder="1"/>
    <xf numFmtId="2" fontId="5" fillId="9" borderId="1" xfId="0" applyNumberFormat="1" applyFont="1" applyFill="1" applyBorder="1"/>
    <xf numFmtId="0" fontId="2" fillId="5" borderId="1" xfId="0" applyFont="1" applyFill="1" applyBorder="1"/>
    <xf numFmtId="164" fontId="2" fillId="5" borderId="1" xfId="0" applyNumberFormat="1" applyFont="1" applyFill="1" applyBorder="1"/>
    <xf numFmtId="164" fontId="5" fillId="5" borderId="1" xfId="0" applyNumberFormat="1" applyFont="1" applyFill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2" fontId="1" fillId="0" borderId="1" xfId="0" applyNumberFormat="1" applyFont="1" applyBorder="1"/>
    <xf numFmtId="2" fontId="5" fillId="5" borderId="1" xfId="0" applyNumberFormat="1" applyFont="1" applyFill="1" applyBorder="1"/>
    <xf numFmtId="2" fontId="2" fillId="5" borderId="1" xfId="0" applyNumberFormat="1" applyFont="1" applyFill="1" applyBorder="1"/>
    <xf numFmtId="0" fontId="0" fillId="0" borderId="1" xfId="0" applyFont="1" applyFill="1" applyBorder="1"/>
    <xf numFmtId="0" fontId="5" fillId="0" borderId="1" xfId="0" applyFont="1" applyFill="1" applyBorder="1" applyAlignment="1"/>
    <xf numFmtId="0" fontId="7" fillId="0" borderId="1" xfId="0" applyFont="1" applyFill="1" applyBorder="1"/>
    <xf numFmtId="2" fontId="1" fillId="9" borderId="1" xfId="0" applyNumberFormat="1" applyFont="1" applyFill="1" applyBorder="1"/>
    <xf numFmtId="0" fontId="4" fillId="0" borderId="3" xfId="0" applyFont="1" applyBorder="1" applyAlignment="1"/>
    <xf numFmtId="0" fontId="4" fillId="0" borderId="4" xfId="0" applyFont="1" applyBorder="1" applyAlignment="1"/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horizontal="center" vertical="top" wrapText="1"/>
    </xf>
    <xf numFmtId="0" fontId="4" fillId="2" borderId="5" xfId="0" applyFont="1" applyFill="1" applyBorder="1" applyAlignment="1">
      <alignment horizontal="center" vertical="top" wrapText="1"/>
    </xf>
    <xf numFmtId="164" fontId="4" fillId="2" borderId="2" xfId="0" applyNumberFormat="1" applyFont="1" applyFill="1" applyBorder="1" applyAlignment="1">
      <alignment horizontal="center" vertical="top" wrapText="1"/>
    </xf>
    <xf numFmtId="164" fontId="4" fillId="2" borderId="7" xfId="0" applyNumberFormat="1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164" fontId="4" fillId="2" borderId="1" xfId="0" applyNumberFormat="1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top" wrapText="1"/>
    </xf>
    <xf numFmtId="164" fontId="3" fillId="2" borderId="1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47"/>
  <sheetViews>
    <sheetView tabSelected="1" topLeftCell="U1" zoomScale="70" zoomScaleNormal="70" workbookViewId="0">
      <selection activeCell="AE34" sqref="AE34:AG34"/>
    </sheetView>
  </sheetViews>
  <sheetFormatPr defaultRowHeight="14.4" x14ac:dyDescent="0.3"/>
  <cols>
    <col min="1" max="1" width="5" style="23" customWidth="1"/>
    <col min="2" max="2" width="5" style="24" customWidth="1"/>
    <col min="3" max="3" width="35.88671875" style="23" customWidth="1"/>
    <col min="4" max="4" width="6.88671875" style="23" customWidth="1"/>
    <col min="5" max="5" width="6.33203125" style="23" customWidth="1"/>
    <col min="6" max="6" width="6.5546875" style="23" customWidth="1"/>
    <col min="7" max="7" width="6.109375" style="35" customWidth="1"/>
    <col min="8" max="8" width="7.109375" style="35" customWidth="1"/>
    <col min="9" max="9" width="6.109375" style="23" customWidth="1"/>
    <col min="10" max="10" width="5.44140625" style="90"/>
    <col min="11" max="11" width="5.44140625" style="23"/>
    <col min="12" max="12" width="5.44140625" style="24"/>
    <col min="13" max="13" width="33.44140625" style="23" customWidth="1"/>
    <col min="14" max="14" width="4.44140625" style="23" customWidth="1"/>
    <col min="15" max="17" width="6.33203125" style="23" customWidth="1"/>
    <col min="18" max="18" width="6.88671875" style="23" customWidth="1"/>
    <col min="19" max="19" width="6.33203125" style="23" customWidth="1"/>
    <col min="20" max="20" width="5.44140625" style="90"/>
    <col min="21" max="21" width="5.44140625" style="23"/>
    <col min="22" max="22" width="5.44140625" style="24"/>
    <col min="23" max="23" width="29.6640625" style="23" customWidth="1"/>
    <col min="24" max="24" width="6.44140625" style="23" customWidth="1"/>
    <col min="25" max="25" width="6.6640625" style="23" customWidth="1"/>
    <col min="26" max="26" width="6" style="23" customWidth="1"/>
    <col min="27" max="27" width="6.5546875" style="23" customWidth="1"/>
    <col min="28" max="28" width="8.44140625" style="23" customWidth="1"/>
    <col min="29" max="29" width="6.88671875" style="23" customWidth="1"/>
    <col min="30" max="30" width="3.109375" style="90" customWidth="1"/>
    <col min="31" max="31" width="5.44140625" style="23"/>
    <col min="32" max="32" width="5.44140625" style="24"/>
    <col min="33" max="33" width="32.21875" style="23" customWidth="1"/>
    <col min="34" max="34" width="7.5546875" style="23" customWidth="1"/>
    <col min="35" max="35" width="6.109375" style="23" customWidth="1"/>
    <col min="36" max="36" width="6" style="23" customWidth="1"/>
    <col min="37" max="37" width="7" style="23" customWidth="1"/>
    <col min="38" max="38" width="6.88671875" style="23" customWidth="1"/>
    <col min="39" max="39" width="6.5546875" style="23" customWidth="1"/>
    <col min="40" max="40" width="5.44140625" style="90"/>
    <col min="41" max="41" width="5.44140625" style="23"/>
    <col min="42" max="42" width="5.44140625" style="24"/>
    <col min="43" max="43" width="36.5546875" style="23" customWidth="1"/>
    <col min="44" max="44" width="7.44140625" style="23" customWidth="1"/>
    <col min="45" max="45" width="6.33203125" style="23" customWidth="1"/>
    <col min="46" max="46" width="6.88671875" style="23" customWidth="1"/>
    <col min="47" max="47" width="7.5546875" style="23" customWidth="1"/>
    <col min="48" max="49" width="7" style="23" customWidth="1"/>
    <col min="50" max="50" width="5.44140625" style="90"/>
    <col min="51" max="51" width="5.44140625" style="44"/>
    <col min="52" max="52" width="5.44140625" style="24"/>
    <col min="53" max="53" width="39.6640625" style="44" customWidth="1"/>
    <col min="54" max="54" width="7.88671875" style="44" customWidth="1"/>
    <col min="55" max="55" width="6.5546875" style="44" customWidth="1"/>
    <col min="56" max="56" width="7" style="44" customWidth="1"/>
    <col min="57" max="58" width="6.6640625" style="44" customWidth="1"/>
    <col min="59" max="59" width="7" style="44" customWidth="1"/>
    <col min="60" max="60" width="5.44140625" style="87"/>
    <col min="61" max="61" width="5.44140625" style="23"/>
    <col min="62" max="62" width="5.44140625" style="24"/>
    <col min="63" max="63" width="41" style="23" customWidth="1"/>
    <col min="64" max="64" width="6.6640625" style="23" customWidth="1"/>
    <col min="65" max="65" width="6.88671875" style="23" customWidth="1"/>
    <col min="66" max="66" width="6.33203125" style="23" customWidth="1"/>
    <col min="67" max="67" width="6.88671875" style="23" customWidth="1"/>
    <col min="68" max="68" width="8" style="23" customWidth="1"/>
    <col min="69" max="69" width="6.5546875" style="23" customWidth="1"/>
    <col min="70" max="70" width="5.44140625" style="87"/>
    <col min="71" max="71" width="5.44140625" style="23"/>
    <col min="72" max="72" width="5.44140625" style="24"/>
    <col min="73" max="73" width="41.109375" style="23" customWidth="1"/>
    <col min="74" max="74" width="6.88671875" style="23" customWidth="1"/>
    <col min="75" max="76" width="6.33203125" style="23" customWidth="1"/>
    <col min="77" max="77" width="6.5546875" style="23" customWidth="1"/>
    <col min="78" max="78" width="8.109375" style="23" customWidth="1"/>
    <col min="79" max="79" width="7" style="23" customWidth="1"/>
    <col min="80" max="80" width="5.44140625" style="87"/>
    <col min="81" max="81" width="5.44140625" style="23"/>
    <col min="82" max="82" width="5.44140625" style="24"/>
    <col min="83" max="83" width="40.109375" style="23" customWidth="1"/>
    <col min="84" max="85" width="6.6640625" style="23" customWidth="1"/>
    <col min="86" max="86" width="7.33203125" style="23" customWidth="1"/>
    <col min="87" max="87" width="6.88671875" style="23" customWidth="1"/>
    <col min="88" max="88" width="7.6640625" style="23" customWidth="1"/>
    <col min="89" max="89" width="7.33203125" style="23" customWidth="1"/>
    <col min="90" max="90" width="5.44140625" style="87"/>
    <col min="91" max="91" width="5.44140625" style="23"/>
    <col min="92" max="92" width="5.44140625" style="24"/>
    <col min="93" max="93" width="38.88671875" style="23" customWidth="1"/>
    <col min="94" max="94" width="6.6640625" style="23" customWidth="1"/>
    <col min="95" max="95" width="7" style="23" customWidth="1"/>
    <col min="96" max="96" width="6.33203125" style="23" customWidth="1"/>
    <col min="97" max="97" width="7" style="23" customWidth="1"/>
    <col min="98" max="98" width="6.6640625" style="23" customWidth="1"/>
    <col min="99" max="99" width="6.5546875" style="23" customWidth="1"/>
  </cols>
  <sheetData>
    <row r="1" spans="1:99" x14ac:dyDescent="0.3">
      <c r="A1" s="91" t="s">
        <v>0</v>
      </c>
      <c r="B1" s="82" t="s">
        <v>1</v>
      </c>
      <c r="C1" s="91" t="s">
        <v>2</v>
      </c>
      <c r="D1" s="91" t="s">
        <v>3</v>
      </c>
      <c r="E1" s="91" t="s">
        <v>4</v>
      </c>
      <c r="F1" s="91"/>
      <c r="G1" s="91"/>
      <c r="H1" s="92" t="s">
        <v>5</v>
      </c>
      <c r="I1" s="91" t="s">
        <v>6</v>
      </c>
      <c r="J1" s="88"/>
      <c r="K1" s="82" t="s">
        <v>0</v>
      </c>
      <c r="L1" s="82" t="s">
        <v>1</v>
      </c>
      <c r="M1" s="82" t="s">
        <v>2</v>
      </c>
      <c r="N1" s="82" t="s">
        <v>3</v>
      </c>
      <c r="O1" s="82" t="s">
        <v>4</v>
      </c>
      <c r="P1" s="82"/>
      <c r="Q1" s="82"/>
      <c r="R1" s="83" t="s">
        <v>5</v>
      </c>
      <c r="S1" s="82" t="s">
        <v>6</v>
      </c>
      <c r="T1" s="88"/>
      <c r="U1" s="82" t="s">
        <v>0</v>
      </c>
      <c r="V1" s="82" t="s">
        <v>1</v>
      </c>
      <c r="W1" s="82" t="s">
        <v>2</v>
      </c>
      <c r="X1" s="82" t="s">
        <v>3</v>
      </c>
      <c r="Y1" s="82" t="s">
        <v>4</v>
      </c>
      <c r="Z1" s="82"/>
      <c r="AA1" s="82"/>
      <c r="AB1" s="83" t="s">
        <v>5</v>
      </c>
      <c r="AC1" s="82" t="s">
        <v>6</v>
      </c>
      <c r="AD1" s="88"/>
      <c r="AE1" s="82" t="s">
        <v>0</v>
      </c>
      <c r="AF1" s="82" t="s">
        <v>1</v>
      </c>
      <c r="AG1" s="82" t="s">
        <v>2</v>
      </c>
      <c r="AH1" s="82" t="s">
        <v>3</v>
      </c>
      <c r="AI1" s="82" t="s">
        <v>4</v>
      </c>
      <c r="AJ1" s="82"/>
      <c r="AK1" s="82"/>
      <c r="AL1" s="83" t="s">
        <v>5</v>
      </c>
      <c r="AM1" s="82" t="s">
        <v>6</v>
      </c>
      <c r="AN1" s="88"/>
      <c r="AO1" s="82" t="s">
        <v>0</v>
      </c>
      <c r="AP1" s="82" t="s">
        <v>1</v>
      </c>
      <c r="AQ1" s="82" t="s">
        <v>2</v>
      </c>
      <c r="AR1" s="82" t="s">
        <v>3</v>
      </c>
      <c r="AS1" s="82" t="s">
        <v>4</v>
      </c>
      <c r="AT1" s="82"/>
      <c r="AU1" s="82"/>
      <c r="AV1" s="83" t="s">
        <v>5</v>
      </c>
      <c r="AW1" s="82" t="s">
        <v>6</v>
      </c>
      <c r="AX1" s="88"/>
      <c r="AY1" s="82" t="s">
        <v>0</v>
      </c>
      <c r="AZ1" s="82" t="s">
        <v>1</v>
      </c>
      <c r="BA1" s="82" t="s">
        <v>2</v>
      </c>
      <c r="BB1" s="82" t="s">
        <v>3</v>
      </c>
      <c r="BC1" s="82" t="s">
        <v>4</v>
      </c>
      <c r="BD1" s="82"/>
      <c r="BE1" s="82"/>
      <c r="BF1" s="83" t="s">
        <v>5</v>
      </c>
      <c r="BG1" s="82" t="s">
        <v>6</v>
      </c>
      <c r="BH1" s="84"/>
      <c r="BI1" s="82" t="s">
        <v>0</v>
      </c>
      <c r="BJ1" s="82" t="s">
        <v>1</v>
      </c>
      <c r="BK1" s="82" t="s">
        <v>2</v>
      </c>
      <c r="BL1" s="82" t="s">
        <v>3</v>
      </c>
      <c r="BM1" s="82" t="s">
        <v>4</v>
      </c>
      <c r="BN1" s="82"/>
      <c r="BO1" s="82"/>
      <c r="BP1" s="83" t="s">
        <v>5</v>
      </c>
      <c r="BQ1" s="82" t="s">
        <v>6</v>
      </c>
      <c r="BR1" s="84"/>
      <c r="BS1" s="82" t="s">
        <v>0</v>
      </c>
      <c r="BT1" s="82" t="s">
        <v>1</v>
      </c>
      <c r="BU1" s="82" t="s">
        <v>2</v>
      </c>
      <c r="BV1" s="82" t="s">
        <v>3</v>
      </c>
      <c r="BW1" s="82" t="s">
        <v>4</v>
      </c>
      <c r="BX1" s="82"/>
      <c r="BY1" s="82"/>
      <c r="BZ1" s="83" t="s">
        <v>5</v>
      </c>
      <c r="CA1" s="82" t="s">
        <v>6</v>
      </c>
      <c r="CB1" s="84"/>
      <c r="CC1" s="82" t="s">
        <v>0</v>
      </c>
      <c r="CD1" s="82" t="s">
        <v>1</v>
      </c>
      <c r="CE1" s="82" t="s">
        <v>2</v>
      </c>
      <c r="CF1" s="82" t="s">
        <v>3</v>
      </c>
      <c r="CG1" s="82" t="s">
        <v>4</v>
      </c>
      <c r="CH1" s="82"/>
      <c r="CI1" s="82"/>
      <c r="CJ1" s="83" t="s">
        <v>5</v>
      </c>
      <c r="CK1" s="82" t="s">
        <v>6</v>
      </c>
      <c r="CL1" s="84"/>
      <c r="CM1" s="75" t="s">
        <v>0</v>
      </c>
      <c r="CN1" s="75" t="s">
        <v>1</v>
      </c>
      <c r="CO1" s="75" t="s">
        <v>2</v>
      </c>
      <c r="CP1" s="75" t="s">
        <v>3</v>
      </c>
      <c r="CQ1" s="77" t="s">
        <v>4</v>
      </c>
      <c r="CR1" s="78"/>
      <c r="CS1" s="79"/>
      <c r="CT1" s="80" t="s">
        <v>5</v>
      </c>
      <c r="CU1" s="75" t="s">
        <v>6</v>
      </c>
    </row>
    <row r="2" spans="1:99" x14ac:dyDescent="0.3">
      <c r="A2" s="91"/>
      <c r="B2" s="82"/>
      <c r="C2" s="91"/>
      <c r="D2" s="91"/>
      <c r="E2" s="1" t="s">
        <v>7</v>
      </c>
      <c r="F2" s="1" t="s">
        <v>8</v>
      </c>
      <c r="G2" s="2" t="s">
        <v>9</v>
      </c>
      <c r="H2" s="92"/>
      <c r="I2" s="91"/>
      <c r="J2" s="89"/>
      <c r="K2" s="82"/>
      <c r="L2" s="82"/>
      <c r="M2" s="82"/>
      <c r="N2" s="82"/>
      <c r="O2" s="3" t="s">
        <v>7</v>
      </c>
      <c r="P2" s="3" t="s">
        <v>8</v>
      </c>
      <c r="Q2" s="4" t="s">
        <v>9</v>
      </c>
      <c r="R2" s="83"/>
      <c r="S2" s="82"/>
      <c r="T2" s="89"/>
      <c r="U2" s="82"/>
      <c r="V2" s="82"/>
      <c r="W2" s="82"/>
      <c r="X2" s="82"/>
      <c r="Y2" s="3" t="s">
        <v>7</v>
      </c>
      <c r="Z2" s="3" t="s">
        <v>8</v>
      </c>
      <c r="AA2" s="4" t="s">
        <v>9</v>
      </c>
      <c r="AB2" s="83"/>
      <c r="AC2" s="82"/>
      <c r="AD2" s="89"/>
      <c r="AE2" s="82"/>
      <c r="AF2" s="82"/>
      <c r="AG2" s="82"/>
      <c r="AH2" s="82"/>
      <c r="AI2" s="3" t="s">
        <v>7</v>
      </c>
      <c r="AJ2" s="3" t="s">
        <v>8</v>
      </c>
      <c r="AK2" s="4" t="s">
        <v>9</v>
      </c>
      <c r="AL2" s="83"/>
      <c r="AM2" s="82"/>
      <c r="AN2" s="89"/>
      <c r="AO2" s="82"/>
      <c r="AP2" s="82"/>
      <c r="AQ2" s="82"/>
      <c r="AR2" s="82"/>
      <c r="AS2" s="3" t="s">
        <v>7</v>
      </c>
      <c r="AT2" s="3" t="s">
        <v>8</v>
      </c>
      <c r="AU2" s="4" t="s">
        <v>9</v>
      </c>
      <c r="AV2" s="83"/>
      <c r="AW2" s="82"/>
      <c r="AX2" s="89"/>
      <c r="AY2" s="82"/>
      <c r="AZ2" s="82"/>
      <c r="BA2" s="82"/>
      <c r="BB2" s="82"/>
      <c r="BC2" s="3" t="s">
        <v>7</v>
      </c>
      <c r="BD2" s="3" t="s">
        <v>8</v>
      </c>
      <c r="BE2" s="4" t="s">
        <v>9</v>
      </c>
      <c r="BF2" s="83"/>
      <c r="BG2" s="82"/>
      <c r="BH2" s="85"/>
      <c r="BI2" s="82"/>
      <c r="BJ2" s="82"/>
      <c r="BK2" s="82"/>
      <c r="BL2" s="82"/>
      <c r="BM2" s="3" t="s">
        <v>7</v>
      </c>
      <c r="BN2" s="3" t="s">
        <v>8</v>
      </c>
      <c r="BO2" s="4" t="s">
        <v>9</v>
      </c>
      <c r="BP2" s="83"/>
      <c r="BQ2" s="82"/>
      <c r="BR2" s="85"/>
      <c r="BS2" s="82"/>
      <c r="BT2" s="82"/>
      <c r="BU2" s="82"/>
      <c r="BV2" s="82"/>
      <c r="BW2" s="3" t="s">
        <v>7</v>
      </c>
      <c r="BX2" s="3" t="s">
        <v>8</v>
      </c>
      <c r="BY2" s="4" t="s">
        <v>9</v>
      </c>
      <c r="BZ2" s="83"/>
      <c r="CA2" s="82"/>
      <c r="CB2" s="85"/>
      <c r="CC2" s="82"/>
      <c r="CD2" s="82"/>
      <c r="CE2" s="82"/>
      <c r="CF2" s="82"/>
      <c r="CG2" s="3" t="s">
        <v>7</v>
      </c>
      <c r="CH2" s="3" t="s">
        <v>8</v>
      </c>
      <c r="CI2" s="4" t="s">
        <v>9</v>
      </c>
      <c r="CJ2" s="83"/>
      <c r="CK2" s="82"/>
      <c r="CL2" s="85"/>
      <c r="CM2" s="76"/>
      <c r="CN2" s="76"/>
      <c r="CO2" s="76"/>
      <c r="CP2" s="76"/>
      <c r="CQ2" s="3" t="s">
        <v>7</v>
      </c>
      <c r="CR2" s="3" t="s">
        <v>8</v>
      </c>
      <c r="CS2" s="4" t="s">
        <v>9</v>
      </c>
      <c r="CT2" s="81"/>
      <c r="CU2" s="76"/>
    </row>
    <row r="3" spans="1:99" x14ac:dyDescent="0.3">
      <c r="A3" s="5" t="s">
        <v>10</v>
      </c>
      <c r="B3" s="6"/>
      <c r="C3" s="5"/>
      <c r="D3" s="5"/>
      <c r="E3" s="5"/>
      <c r="F3" s="5"/>
      <c r="G3" s="7"/>
      <c r="H3" s="7"/>
      <c r="I3" s="5"/>
      <c r="J3" s="89"/>
      <c r="K3" s="6" t="s">
        <v>11</v>
      </c>
      <c r="L3" s="6"/>
      <c r="M3" s="6"/>
      <c r="N3" s="6"/>
      <c r="O3" s="6"/>
      <c r="P3" s="6"/>
      <c r="Q3" s="8"/>
      <c r="R3" s="8"/>
      <c r="S3" s="6"/>
      <c r="T3" s="89"/>
      <c r="U3" s="6" t="s">
        <v>12</v>
      </c>
      <c r="V3" s="6"/>
      <c r="W3" s="6"/>
      <c r="X3" s="6"/>
      <c r="Y3" s="6"/>
      <c r="Z3" s="6"/>
      <c r="AA3" s="8"/>
      <c r="AB3" s="8"/>
      <c r="AC3" s="6"/>
      <c r="AD3" s="89"/>
      <c r="AE3" s="6" t="s">
        <v>13</v>
      </c>
      <c r="AF3" s="6"/>
      <c r="AG3" s="6"/>
      <c r="AH3" s="6"/>
      <c r="AI3" s="6"/>
      <c r="AJ3" s="6"/>
      <c r="AK3" s="8"/>
      <c r="AL3" s="8"/>
      <c r="AM3" s="6"/>
      <c r="AN3" s="89"/>
      <c r="AO3" s="6" t="s">
        <v>14</v>
      </c>
      <c r="AP3" s="6"/>
      <c r="AQ3" s="6"/>
      <c r="AR3" s="6"/>
      <c r="AS3" s="6"/>
      <c r="AT3" s="6"/>
      <c r="AU3" s="8"/>
      <c r="AV3" s="8"/>
      <c r="AW3" s="6"/>
      <c r="AX3" s="89"/>
      <c r="AY3" s="6" t="s">
        <v>15</v>
      </c>
      <c r="AZ3" s="6"/>
      <c r="BA3" s="6"/>
      <c r="BB3" s="6"/>
      <c r="BC3" s="6"/>
      <c r="BD3" s="6"/>
      <c r="BE3" s="8"/>
      <c r="BF3" s="8"/>
      <c r="BG3" s="6"/>
      <c r="BH3" s="85"/>
      <c r="BI3" s="6" t="s">
        <v>16</v>
      </c>
      <c r="BJ3" s="6"/>
      <c r="BK3" s="6"/>
      <c r="BL3" s="6"/>
      <c r="BM3" s="6"/>
      <c r="BN3" s="6"/>
      <c r="BO3" s="8"/>
      <c r="BP3" s="8"/>
      <c r="BQ3" s="6"/>
      <c r="BR3" s="85"/>
      <c r="BS3" s="6" t="s">
        <v>17</v>
      </c>
      <c r="BT3" s="6"/>
      <c r="BU3" s="6"/>
      <c r="BV3" s="6"/>
      <c r="BW3" s="6"/>
      <c r="BX3" s="6"/>
      <c r="BY3" s="8"/>
      <c r="BZ3" s="8"/>
      <c r="CA3" s="6"/>
      <c r="CB3" s="85"/>
      <c r="CC3" s="6" t="s">
        <v>18</v>
      </c>
      <c r="CD3" s="6"/>
      <c r="CE3" s="6"/>
      <c r="CF3" s="6"/>
      <c r="CG3" s="6"/>
      <c r="CH3" s="6"/>
      <c r="CI3" s="8"/>
      <c r="CJ3" s="8"/>
      <c r="CK3" s="6"/>
      <c r="CL3" s="85"/>
      <c r="CM3" s="6" t="s">
        <v>19</v>
      </c>
      <c r="CN3" s="6"/>
      <c r="CO3" s="6"/>
      <c r="CP3" s="6"/>
      <c r="CQ3" s="6"/>
      <c r="CR3" s="6"/>
      <c r="CS3" s="8"/>
      <c r="CT3" s="8"/>
      <c r="CU3" s="6"/>
    </row>
    <row r="4" spans="1:99" x14ac:dyDescent="0.3">
      <c r="A4" s="72" t="s">
        <v>20</v>
      </c>
      <c r="B4" s="73"/>
      <c r="C4" s="73"/>
      <c r="D4" s="73"/>
      <c r="E4" s="73"/>
      <c r="F4" s="73"/>
      <c r="G4" s="73"/>
      <c r="H4" s="73"/>
      <c r="I4" s="74"/>
      <c r="J4" s="89"/>
      <c r="K4" s="69" t="s">
        <v>20</v>
      </c>
      <c r="L4" s="70"/>
      <c r="M4" s="70"/>
      <c r="N4" s="70"/>
      <c r="O4" s="70"/>
      <c r="P4" s="70"/>
      <c r="Q4" s="70"/>
      <c r="R4" s="70"/>
      <c r="S4" s="71"/>
      <c r="T4" s="89"/>
      <c r="U4" s="69" t="s">
        <v>20</v>
      </c>
      <c r="V4" s="70"/>
      <c r="W4" s="70"/>
      <c r="X4" s="70"/>
      <c r="Y4" s="70"/>
      <c r="Z4" s="70"/>
      <c r="AA4" s="70"/>
      <c r="AB4" s="70"/>
      <c r="AC4" s="71"/>
      <c r="AD4" s="89"/>
      <c r="AE4" s="69" t="s">
        <v>20</v>
      </c>
      <c r="AF4" s="70"/>
      <c r="AG4" s="70"/>
      <c r="AH4" s="70"/>
      <c r="AI4" s="70"/>
      <c r="AJ4" s="70"/>
      <c r="AK4" s="70"/>
      <c r="AL4" s="70"/>
      <c r="AM4" s="71"/>
      <c r="AN4" s="89"/>
      <c r="AO4" s="69" t="s">
        <v>20</v>
      </c>
      <c r="AP4" s="70"/>
      <c r="AQ4" s="70"/>
      <c r="AR4" s="70"/>
      <c r="AS4" s="70"/>
      <c r="AT4" s="70"/>
      <c r="AU4" s="70"/>
      <c r="AV4" s="70"/>
      <c r="AW4" s="71"/>
      <c r="AX4" s="89"/>
      <c r="AY4" s="69" t="s">
        <v>20</v>
      </c>
      <c r="AZ4" s="70"/>
      <c r="BA4" s="70"/>
      <c r="BB4" s="70"/>
      <c r="BC4" s="70"/>
      <c r="BD4" s="70"/>
      <c r="BE4" s="70"/>
      <c r="BF4" s="70"/>
      <c r="BG4" s="71"/>
      <c r="BH4" s="85"/>
      <c r="BI4" s="69" t="s">
        <v>20</v>
      </c>
      <c r="BJ4" s="70"/>
      <c r="BK4" s="70"/>
      <c r="BL4" s="70"/>
      <c r="BM4" s="70"/>
      <c r="BN4" s="70"/>
      <c r="BO4" s="70"/>
      <c r="BP4" s="70"/>
      <c r="BQ4" s="71"/>
      <c r="BR4" s="85"/>
      <c r="BS4" s="69" t="s">
        <v>20</v>
      </c>
      <c r="BT4" s="70"/>
      <c r="BU4" s="70"/>
      <c r="BV4" s="70"/>
      <c r="BW4" s="70"/>
      <c r="BX4" s="70"/>
      <c r="BY4" s="70"/>
      <c r="BZ4" s="70"/>
      <c r="CA4" s="71"/>
      <c r="CB4" s="85"/>
      <c r="CC4" s="69" t="s">
        <v>20</v>
      </c>
      <c r="CD4" s="70"/>
      <c r="CE4" s="70"/>
      <c r="CF4" s="70"/>
      <c r="CG4" s="70"/>
      <c r="CH4" s="70"/>
      <c r="CI4" s="70"/>
      <c r="CJ4" s="70"/>
      <c r="CK4" s="71"/>
      <c r="CL4" s="85"/>
      <c r="CM4" s="69" t="s">
        <v>20</v>
      </c>
      <c r="CN4" s="70"/>
      <c r="CO4" s="70"/>
      <c r="CP4" s="70"/>
      <c r="CQ4" s="70"/>
      <c r="CR4" s="70"/>
      <c r="CS4" s="70"/>
      <c r="CT4" s="70"/>
      <c r="CU4" s="71"/>
    </row>
    <row r="5" spans="1:99" x14ac:dyDescent="0.3">
      <c r="A5" s="9"/>
      <c r="B5" s="10">
        <v>7</v>
      </c>
      <c r="C5" s="11" t="s">
        <v>21</v>
      </c>
      <c r="D5" s="11">
        <v>10</v>
      </c>
      <c r="E5" s="12">
        <v>2.3199999999999998</v>
      </c>
      <c r="F5" s="12">
        <v>2.95</v>
      </c>
      <c r="G5" s="13"/>
      <c r="H5" s="14">
        <f>G5*4+F5*9+E5*4</f>
        <v>35.83</v>
      </c>
      <c r="I5" s="12">
        <v>7.0000000000000007E-2</v>
      </c>
      <c r="J5" s="89"/>
      <c r="K5" s="15"/>
      <c r="L5" s="16">
        <v>224</v>
      </c>
      <c r="M5" s="17" t="s">
        <v>22</v>
      </c>
      <c r="N5" s="17">
        <v>120</v>
      </c>
      <c r="O5" s="14">
        <v>14.84</v>
      </c>
      <c r="P5" s="14">
        <v>18.22</v>
      </c>
      <c r="Q5" s="14">
        <v>2.3199999999999998</v>
      </c>
      <c r="R5" s="13">
        <f>Q5*4+P5*9+O5*4</f>
        <v>232.62</v>
      </c>
      <c r="S5" s="14">
        <v>0.5</v>
      </c>
      <c r="T5" s="89"/>
      <c r="U5" s="15"/>
      <c r="V5" s="18">
        <v>185</v>
      </c>
      <c r="W5" s="19" t="s">
        <v>23</v>
      </c>
      <c r="X5" s="19">
        <v>155</v>
      </c>
      <c r="Y5" s="12">
        <v>3.44</v>
      </c>
      <c r="Z5" s="12">
        <v>0.99</v>
      </c>
      <c r="AA5" s="12">
        <v>23.58</v>
      </c>
      <c r="AB5" s="13">
        <f>AA5*4+Z5*9+Y5*4</f>
        <v>116.99</v>
      </c>
      <c r="AC5" s="12"/>
      <c r="AD5" s="89"/>
      <c r="AE5" s="15"/>
      <c r="AF5" s="18">
        <v>101</v>
      </c>
      <c r="AG5" s="20" t="s">
        <v>24</v>
      </c>
      <c r="AH5" s="18">
        <v>200</v>
      </c>
      <c r="AI5" s="21">
        <v>5.48</v>
      </c>
      <c r="AJ5" s="21">
        <v>5.048</v>
      </c>
      <c r="AK5" s="21">
        <v>16</v>
      </c>
      <c r="AL5" s="21">
        <f t="shared" ref="AL5:AL9" si="0">AK5*4+AJ5*9+AI5*4</f>
        <v>131.352</v>
      </c>
      <c r="AM5" s="21">
        <v>0.97</v>
      </c>
      <c r="AN5" s="89"/>
      <c r="AO5" s="15"/>
      <c r="AP5" s="18">
        <v>6</v>
      </c>
      <c r="AQ5" s="18" t="s">
        <v>25</v>
      </c>
      <c r="AR5" s="18">
        <v>5</v>
      </c>
      <c r="AS5" s="21">
        <v>0.04</v>
      </c>
      <c r="AT5" s="21">
        <v>3.63</v>
      </c>
      <c r="AU5" s="21">
        <v>6.5000000000000002E-2</v>
      </c>
      <c r="AV5" s="13">
        <f>AU5*4+AT5*9+AS5*4</f>
        <v>33.089999999999996</v>
      </c>
      <c r="AW5" s="22"/>
      <c r="AX5" s="89"/>
      <c r="AY5" s="15"/>
      <c r="AZ5" s="10">
        <v>7</v>
      </c>
      <c r="BA5" s="11" t="s">
        <v>21</v>
      </c>
      <c r="BB5" s="11">
        <v>10</v>
      </c>
      <c r="BC5" s="12">
        <v>2.3199999999999998</v>
      </c>
      <c r="BD5" s="12">
        <v>2.95</v>
      </c>
      <c r="BE5" s="13"/>
      <c r="BF5" s="13">
        <f>BE5*4+BD5*9+BC5*4</f>
        <v>35.83</v>
      </c>
      <c r="BG5" s="12">
        <v>7.0000000000000007E-2</v>
      </c>
      <c r="BH5" s="85"/>
      <c r="BI5" s="15"/>
      <c r="BJ5" s="18">
        <v>3</v>
      </c>
      <c r="BK5" s="18" t="s">
        <v>26</v>
      </c>
      <c r="BL5" s="18">
        <v>45</v>
      </c>
      <c r="BM5" s="22">
        <v>4.7300000000000004</v>
      </c>
      <c r="BN5" s="22">
        <v>6.88</v>
      </c>
      <c r="BO5" s="22">
        <v>14.56</v>
      </c>
      <c r="BP5" s="13">
        <f>BO5*4+BN5*9+BM5*4</f>
        <v>139.07999999999998</v>
      </c>
      <c r="BQ5" s="22">
        <v>7.0000000000000007E-2</v>
      </c>
      <c r="BR5" s="85"/>
      <c r="BS5" s="15"/>
      <c r="BT5" s="16">
        <v>7</v>
      </c>
      <c r="BU5" s="19" t="s">
        <v>21</v>
      </c>
      <c r="BV5" s="19">
        <v>15</v>
      </c>
      <c r="BW5" s="14">
        <f>2.32*15/10</f>
        <v>3.4799999999999995</v>
      </c>
      <c r="BX5" s="14">
        <f>2.95*15/10</f>
        <v>4.4249999999999998</v>
      </c>
      <c r="BY5" s="14"/>
      <c r="BZ5" s="21">
        <f>BY5*4+BX5*9+BW5*4</f>
        <v>53.74499999999999</v>
      </c>
      <c r="CA5" s="14">
        <f>0.07*17/10</f>
        <v>0.11900000000000002</v>
      </c>
      <c r="CB5" s="85"/>
      <c r="CC5" s="15"/>
      <c r="CD5" s="18">
        <v>185</v>
      </c>
      <c r="CE5" s="18" t="s">
        <v>27</v>
      </c>
      <c r="CF5" s="18">
        <v>155</v>
      </c>
      <c r="CG5" s="14">
        <v>2.36</v>
      </c>
      <c r="CH5" s="14">
        <v>0.23</v>
      </c>
      <c r="CI5" s="14">
        <v>20.97</v>
      </c>
      <c r="CJ5" s="21">
        <f>CI5*4+CH5*9+CG5*4</f>
        <v>95.389999999999986</v>
      </c>
      <c r="CK5" s="14"/>
      <c r="CL5" s="85"/>
      <c r="CM5" s="15"/>
      <c r="CN5" s="18">
        <v>2</v>
      </c>
      <c r="CO5" s="18" t="s">
        <v>28</v>
      </c>
      <c r="CP5" s="18">
        <v>55</v>
      </c>
      <c r="CQ5" s="14">
        <v>2.5099999999999998</v>
      </c>
      <c r="CR5" s="14">
        <v>3.93</v>
      </c>
      <c r="CS5" s="14">
        <v>28.88</v>
      </c>
      <c r="CT5" s="21">
        <f>CS5*4+CR5*9+CQ5*4</f>
        <v>160.92999999999998</v>
      </c>
      <c r="CU5" s="14">
        <v>0.48</v>
      </c>
    </row>
    <row r="6" spans="1:99" x14ac:dyDescent="0.3">
      <c r="B6" s="10"/>
      <c r="C6" s="18" t="s">
        <v>29</v>
      </c>
      <c r="D6" s="18">
        <v>180</v>
      </c>
      <c r="E6" s="14">
        <v>27.25</v>
      </c>
      <c r="F6" s="14">
        <v>19.37</v>
      </c>
      <c r="G6" s="14">
        <v>43.81</v>
      </c>
      <c r="H6" s="14">
        <f>G6*4+F6*9+E6*4</f>
        <v>458.57000000000005</v>
      </c>
      <c r="I6" s="14">
        <v>0.36</v>
      </c>
      <c r="J6" s="89"/>
      <c r="K6" s="24"/>
      <c r="L6" s="16"/>
      <c r="M6" s="25" t="s">
        <v>30</v>
      </c>
      <c r="N6" s="25">
        <v>60</v>
      </c>
      <c r="O6" s="14">
        <v>0.67</v>
      </c>
      <c r="P6" s="14"/>
      <c r="Q6" s="14">
        <v>6.86</v>
      </c>
      <c r="R6" s="13">
        <f t="shared" ref="R6:R10" si="1">Q6*4+P6*9+O6*4</f>
        <v>30.12</v>
      </c>
      <c r="S6" s="22"/>
      <c r="T6" s="89"/>
      <c r="U6" s="24"/>
      <c r="V6" s="18">
        <v>217</v>
      </c>
      <c r="W6" s="18" t="s">
        <v>31</v>
      </c>
      <c r="X6" s="18">
        <v>60</v>
      </c>
      <c r="Y6" s="21">
        <v>5.7</v>
      </c>
      <c r="Z6" s="21">
        <v>10.8</v>
      </c>
      <c r="AA6" s="21">
        <v>2.6</v>
      </c>
      <c r="AB6" s="13">
        <f t="shared" ref="AB6:AB9" si="2">AA6*4+Z6*9+Y6*4</f>
        <v>130.4</v>
      </c>
      <c r="AC6" s="12"/>
      <c r="AD6" s="89"/>
      <c r="AE6" s="24"/>
      <c r="AF6" s="18">
        <v>7</v>
      </c>
      <c r="AG6" s="18" t="s">
        <v>32</v>
      </c>
      <c r="AH6" s="18">
        <v>15</v>
      </c>
      <c r="AI6" s="14">
        <v>3.57</v>
      </c>
      <c r="AJ6" s="14">
        <v>4.43</v>
      </c>
      <c r="AK6" s="14"/>
      <c r="AL6" s="21">
        <f t="shared" si="0"/>
        <v>54.15</v>
      </c>
      <c r="AM6" s="14">
        <f>0.07*15/10</f>
        <v>0.10500000000000001</v>
      </c>
      <c r="AN6" s="89"/>
      <c r="AO6" s="24"/>
      <c r="AP6" s="18">
        <v>185</v>
      </c>
      <c r="AQ6" s="18" t="s">
        <v>33</v>
      </c>
      <c r="AR6" s="18">
        <v>155</v>
      </c>
      <c r="AS6" s="12">
        <v>3.44</v>
      </c>
      <c r="AT6" s="12">
        <v>0.99</v>
      </c>
      <c r="AU6" s="12">
        <v>23.58</v>
      </c>
      <c r="AV6" s="13">
        <f t="shared" ref="AV6:AV8" si="3">AU6*4+AT6*9+AS6*4</f>
        <v>116.99</v>
      </c>
      <c r="AW6" s="14"/>
      <c r="AX6" s="89"/>
      <c r="AY6" s="24"/>
      <c r="AZ6" s="18">
        <v>6</v>
      </c>
      <c r="BA6" s="18" t="s">
        <v>25</v>
      </c>
      <c r="BB6" s="18">
        <v>5</v>
      </c>
      <c r="BC6" s="21">
        <v>0.04</v>
      </c>
      <c r="BD6" s="21">
        <v>3.63</v>
      </c>
      <c r="BE6" s="21">
        <v>6.5000000000000002E-2</v>
      </c>
      <c r="BF6" s="13">
        <f>BE6*4+BD6*9+BC6*4</f>
        <v>33.089999999999996</v>
      </c>
      <c r="BG6" s="22"/>
      <c r="BH6" s="85"/>
      <c r="BI6" s="24"/>
      <c r="BJ6" s="18">
        <v>185</v>
      </c>
      <c r="BK6" s="18" t="s">
        <v>34</v>
      </c>
      <c r="BL6" s="18">
        <v>205</v>
      </c>
      <c r="BM6" s="22">
        <v>3.79</v>
      </c>
      <c r="BN6" s="22">
        <v>5.48</v>
      </c>
      <c r="BO6" s="26">
        <v>19.03</v>
      </c>
      <c r="BP6" s="13">
        <f t="shared" ref="BP6:BP8" si="4">BO6*4+BN6*9+BM6*4</f>
        <v>140.60000000000002</v>
      </c>
      <c r="BQ6" s="22"/>
      <c r="BR6" s="85"/>
      <c r="BS6" s="24"/>
      <c r="BT6" s="18">
        <v>185</v>
      </c>
      <c r="BU6" s="18" t="s">
        <v>35</v>
      </c>
      <c r="BV6" s="18">
        <v>155</v>
      </c>
      <c r="BW6" s="21">
        <v>1.6</v>
      </c>
      <c r="BX6" s="21">
        <v>0.23</v>
      </c>
      <c r="BY6" s="21">
        <v>21.77</v>
      </c>
      <c r="BZ6" s="21">
        <f t="shared" ref="BZ6:BZ8" si="5">BY6*4+BX6*9+BW6*4</f>
        <v>95.550000000000011</v>
      </c>
      <c r="CA6" s="21"/>
      <c r="CB6" s="85"/>
      <c r="CC6" s="24"/>
      <c r="CD6" s="16"/>
      <c r="CE6" s="18" t="s">
        <v>36</v>
      </c>
      <c r="CF6" s="18">
        <v>60</v>
      </c>
      <c r="CG6" s="21">
        <v>4.03</v>
      </c>
      <c r="CH6" s="21">
        <v>10.199999999999999</v>
      </c>
      <c r="CI6" s="21">
        <v>5.55</v>
      </c>
      <c r="CJ6" s="21">
        <f t="shared" ref="CJ6:CJ9" si="6">CI6*4+CH6*9+CG6*4</f>
        <v>130.12</v>
      </c>
      <c r="CK6" s="14">
        <v>0.06</v>
      </c>
      <c r="CL6" s="85"/>
      <c r="CM6" s="24"/>
      <c r="CN6" s="18">
        <v>94</v>
      </c>
      <c r="CO6" s="19" t="s">
        <v>37</v>
      </c>
      <c r="CP6" s="19">
        <v>180</v>
      </c>
      <c r="CQ6" s="14">
        <v>4.33</v>
      </c>
      <c r="CR6" s="14">
        <v>4.57</v>
      </c>
      <c r="CS6" s="14">
        <v>15.1</v>
      </c>
      <c r="CT6" s="21">
        <f t="shared" ref="CT6:CT9" si="7">CS6*4+CR6*9+CQ6*4</f>
        <v>118.85</v>
      </c>
      <c r="CU6" s="14">
        <v>0.81</v>
      </c>
    </row>
    <row r="7" spans="1:99" x14ac:dyDescent="0.3">
      <c r="C7" s="18" t="s">
        <v>38</v>
      </c>
      <c r="D7" s="18">
        <v>15</v>
      </c>
      <c r="E7" s="14">
        <f>2.5*20/100</f>
        <v>0.5</v>
      </c>
      <c r="F7" s="14">
        <f>20*20/100</f>
        <v>4</v>
      </c>
      <c r="G7" s="14">
        <f>3.2*20/100</f>
        <v>0.64</v>
      </c>
      <c r="H7" s="14">
        <f t="shared" ref="H7:H10" si="8">G7*4+F7*9+E7*4</f>
        <v>40.56</v>
      </c>
      <c r="I7" s="21"/>
      <c r="J7" s="89"/>
      <c r="K7" s="24"/>
      <c r="L7" s="18">
        <v>2</v>
      </c>
      <c r="M7" s="18" t="s">
        <v>28</v>
      </c>
      <c r="N7" s="18">
        <v>50</v>
      </c>
      <c r="O7" s="14">
        <v>2.5099999999999998</v>
      </c>
      <c r="P7" s="14">
        <v>3.93</v>
      </c>
      <c r="Q7" s="14">
        <v>28.88</v>
      </c>
      <c r="R7" s="13">
        <f t="shared" si="1"/>
        <v>160.92999999999998</v>
      </c>
      <c r="S7" s="14">
        <v>0.48</v>
      </c>
      <c r="T7" s="89"/>
      <c r="U7" s="24"/>
      <c r="V7" s="24">
        <v>178</v>
      </c>
      <c r="W7" s="23" t="s">
        <v>39</v>
      </c>
      <c r="X7" s="23">
        <v>50</v>
      </c>
      <c r="Y7" s="27">
        <v>10.6</v>
      </c>
      <c r="Z7" s="27">
        <v>7.91</v>
      </c>
      <c r="AA7" s="27">
        <v>7.44</v>
      </c>
      <c r="AB7" s="13">
        <f t="shared" si="2"/>
        <v>143.35</v>
      </c>
      <c r="AC7" s="27"/>
      <c r="AD7" s="89"/>
      <c r="AE7" s="24"/>
      <c r="AF7" s="28">
        <v>394</v>
      </c>
      <c r="AG7" s="18" t="s">
        <v>40</v>
      </c>
      <c r="AH7" s="18">
        <v>180</v>
      </c>
      <c r="AI7" s="14">
        <v>2.67</v>
      </c>
      <c r="AJ7" s="14">
        <v>2.34</v>
      </c>
      <c r="AK7" s="14">
        <v>14.31</v>
      </c>
      <c r="AL7" s="21">
        <f t="shared" si="0"/>
        <v>88.97999999999999</v>
      </c>
      <c r="AM7" s="14">
        <v>1.2</v>
      </c>
      <c r="AN7" s="89"/>
      <c r="AO7" s="24"/>
      <c r="AP7" s="18">
        <v>232</v>
      </c>
      <c r="AQ7" s="18" t="s">
        <v>41</v>
      </c>
      <c r="AR7" s="18">
        <v>100</v>
      </c>
      <c r="AS7" s="14">
        <v>12.61</v>
      </c>
      <c r="AT7" s="14">
        <v>9.4700000000000006</v>
      </c>
      <c r="AU7" s="14">
        <v>16.100000000000001</v>
      </c>
      <c r="AV7" s="13">
        <f t="shared" si="3"/>
        <v>200.07</v>
      </c>
      <c r="AW7" s="22">
        <v>4.3499999999999996</v>
      </c>
      <c r="AX7" s="89"/>
      <c r="AY7" s="24"/>
      <c r="AZ7" s="18">
        <v>211</v>
      </c>
      <c r="BA7" s="18" t="s">
        <v>42</v>
      </c>
      <c r="BB7" s="18">
        <v>205</v>
      </c>
      <c r="BC7" s="12">
        <f>10.49*205/155</f>
        <v>13.873870967741935</v>
      </c>
      <c r="BD7" s="12">
        <f>10.35*205/155</f>
        <v>13.688709677419356</v>
      </c>
      <c r="BE7" s="13">
        <f>27.95*205/155</f>
        <v>36.966129032258067</v>
      </c>
      <c r="BF7" s="13">
        <f>BE7*4+BD7*9+BC7*4</f>
        <v>326.5583870967742</v>
      </c>
      <c r="BG7" s="12">
        <f>0.34*205/155</f>
        <v>0.44967741935483874</v>
      </c>
      <c r="BH7" s="85"/>
      <c r="BI7" s="24"/>
      <c r="BJ7" s="18">
        <v>395</v>
      </c>
      <c r="BK7" s="18" t="s">
        <v>43</v>
      </c>
      <c r="BL7" s="18">
        <v>180</v>
      </c>
      <c r="BM7" s="21">
        <v>2.85</v>
      </c>
      <c r="BN7" s="21">
        <v>2.41</v>
      </c>
      <c r="BO7" s="21">
        <v>14.36</v>
      </c>
      <c r="BP7" s="13">
        <f t="shared" si="4"/>
        <v>90.53</v>
      </c>
      <c r="BQ7" s="21">
        <v>1.17</v>
      </c>
      <c r="BR7" s="85"/>
      <c r="BS7" s="24"/>
      <c r="BT7" s="18">
        <v>239</v>
      </c>
      <c r="BU7" s="19" t="s">
        <v>44</v>
      </c>
      <c r="BV7" s="19">
        <v>50</v>
      </c>
      <c r="BW7" s="21">
        <v>6.95</v>
      </c>
      <c r="BX7" s="21">
        <v>5.3</v>
      </c>
      <c r="BY7" s="21">
        <v>0.48</v>
      </c>
      <c r="BZ7" s="21">
        <f t="shared" si="5"/>
        <v>77.42</v>
      </c>
      <c r="CA7" s="21">
        <v>0.15</v>
      </c>
      <c r="CB7" s="85"/>
      <c r="CC7" s="24"/>
      <c r="CE7" s="23" t="s">
        <v>45</v>
      </c>
      <c r="CF7" s="23">
        <v>60</v>
      </c>
      <c r="CG7" s="29">
        <v>6</v>
      </c>
      <c r="CH7" s="29">
        <v>11</v>
      </c>
      <c r="CI7" s="29">
        <v>10</v>
      </c>
      <c r="CJ7" s="30">
        <f t="shared" si="6"/>
        <v>163</v>
      </c>
      <c r="CK7" s="29"/>
      <c r="CL7" s="85"/>
      <c r="CM7" s="24"/>
      <c r="CO7" s="23" t="s">
        <v>46</v>
      </c>
      <c r="CP7" s="23">
        <v>60</v>
      </c>
      <c r="CQ7" s="27">
        <v>5.73</v>
      </c>
      <c r="CR7" s="27">
        <v>11.04</v>
      </c>
      <c r="CS7" s="27">
        <v>6.29</v>
      </c>
      <c r="CT7" s="31">
        <f t="shared" si="7"/>
        <v>147.44</v>
      </c>
      <c r="CU7" s="27">
        <v>0.1</v>
      </c>
    </row>
    <row r="8" spans="1:99" x14ac:dyDescent="0.3">
      <c r="B8" s="16">
        <v>95</v>
      </c>
      <c r="C8" s="25" t="s">
        <v>47</v>
      </c>
      <c r="D8" s="25">
        <v>150</v>
      </c>
      <c r="E8" s="12">
        <v>2.48</v>
      </c>
      <c r="F8" s="12">
        <v>4.37</v>
      </c>
      <c r="G8" s="12">
        <v>12.44</v>
      </c>
      <c r="H8" s="14">
        <f t="shared" si="8"/>
        <v>99.01</v>
      </c>
      <c r="I8" s="12">
        <v>2.532</v>
      </c>
      <c r="J8" s="89"/>
      <c r="K8" s="24"/>
      <c r="L8" s="18">
        <v>397</v>
      </c>
      <c r="M8" s="18" t="s">
        <v>48</v>
      </c>
      <c r="N8" s="18">
        <v>180</v>
      </c>
      <c r="O8" s="22">
        <f>3.67*150/180</f>
        <v>3.0583333333333331</v>
      </c>
      <c r="P8" s="22">
        <f>3.19*150/180</f>
        <v>2.6583333333333332</v>
      </c>
      <c r="Q8" s="26">
        <f>15.82*150/180</f>
        <v>13.183333333333334</v>
      </c>
      <c r="R8" s="13">
        <f t="shared" si="1"/>
        <v>88.891666666666666</v>
      </c>
      <c r="S8" s="22">
        <v>1.43</v>
      </c>
      <c r="T8" s="89"/>
      <c r="U8" s="24"/>
      <c r="V8" s="18">
        <v>395</v>
      </c>
      <c r="W8" s="18" t="s">
        <v>43</v>
      </c>
      <c r="X8" s="18">
        <v>180</v>
      </c>
      <c r="Y8" s="22">
        <v>2.85</v>
      </c>
      <c r="Z8" s="22">
        <v>2.41</v>
      </c>
      <c r="AA8" s="26">
        <v>14.36</v>
      </c>
      <c r="AB8" s="13">
        <f t="shared" si="2"/>
        <v>90.53</v>
      </c>
      <c r="AC8" s="22">
        <v>1.17</v>
      </c>
      <c r="AD8" s="89"/>
      <c r="AE8" s="24"/>
      <c r="AG8" s="18" t="s">
        <v>49</v>
      </c>
      <c r="AH8" s="18">
        <v>40</v>
      </c>
      <c r="AI8" s="14">
        <v>3.16</v>
      </c>
      <c r="AJ8" s="14">
        <v>0.4</v>
      </c>
      <c r="AK8" s="14">
        <v>19.3</v>
      </c>
      <c r="AL8" s="21">
        <f t="shared" si="0"/>
        <v>93.44</v>
      </c>
      <c r="AM8" s="14"/>
      <c r="AN8" s="89"/>
      <c r="AO8" s="24"/>
      <c r="AP8" s="24">
        <v>41</v>
      </c>
      <c r="AQ8" s="23" t="s">
        <v>50</v>
      </c>
      <c r="AR8" s="23">
        <v>60</v>
      </c>
      <c r="AS8" s="29">
        <v>0.77</v>
      </c>
      <c r="AT8" s="29">
        <v>3.08</v>
      </c>
      <c r="AU8" s="29">
        <v>6.56</v>
      </c>
      <c r="AV8" s="21">
        <f t="shared" si="3"/>
        <v>57.039999999999992</v>
      </c>
      <c r="AW8" s="29">
        <v>3</v>
      </c>
      <c r="AX8" s="89"/>
      <c r="AY8" s="24"/>
      <c r="BA8" s="24" t="s">
        <v>51</v>
      </c>
      <c r="BB8" s="24">
        <v>40</v>
      </c>
      <c r="BC8" s="24">
        <v>5.08</v>
      </c>
      <c r="BD8" s="24">
        <v>4.5999999999999996</v>
      </c>
      <c r="BE8" s="24">
        <v>0.28000000000000003</v>
      </c>
      <c r="BF8" s="26">
        <f>BE8*4+BD8*9+BC8*4</f>
        <v>62.839999999999996</v>
      </c>
      <c r="BG8" s="24">
        <v>5.08</v>
      </c>
      <c r="BH8" s="85"/>
      <c r="BI8" s="24"/>
      <c r="BJ8" s="32"/>
      <c r="BK8" s="32" t="s">
        <v>52</v>
      </c>
      <c r="BL8" s="18">
        <v>100</v>
      </c>
      <c r="BM8" s="14">
        <v>0.4</v>
      </c>
      <c r="BN8" s="14">
        <v>0.4</v>
      </c>
      <c r="BO8" s="14">
        <v>9.8000000000000007</v>
      </c>
      <c r="BP8" s="13">
        <f t="shared" si="4"/>
        <v>44.400000000000006</v>
      </c>
      <c r="BQ8" s="22">
        <v>10</v>
      </c>
      <c r="BR8" s="85"/>
      <c r="BS8" s="24"/>
      <c r="BU8" s="23" t="s">
        <v>50</v>
      </c>
      <c r="BV8" s="23">
        <v>60</v>
      </c>
      <c r="BW8" s="29">
        <v>0.77</v>
      </c>
      <c r="BX8" s="29">
        <v>3.08</v>
      </c>
      <c r="BY8" s="29">
        <v>6.56</v>
      </c>
      <c r="BZ8" s="21">
        <f t="shared" si="5"/>
        <v>57.039999999999992</v>
      </c>
      <c r="CA8" s="29">
        <v>3</v>
      </c>
      <c r="CB8" s="85"/>
      <c r="CC8" s="24"/>
      <c r="CD8" s="18">
        <v>397</v>
      </c>
      <c r="CE8" s="18" t="s">
        <v>48</v>
      </c>
      <c r="CF8" s="18">
        <v>180</v>
      </c>
      <c r="CG8" s="14">
        <f>3.67*150/180</f>
        <v>3.0583333333333331</v>
      </c>
      <c r="CH8" s="14">
        <f>3.19*150/180</f>
        <v>2.6583333333333332</v>
      </c>
      <c r="CI8" s="14">
        <f>15.82*150/180</f>
        <v>13.183333333333334</v>
      </c>
      <c r="CJ8" s="21">
        <f t="shared" si="6"/>
        <v>88.891666666666666</v>
      </c>
      <c r="CK8" s="14">
        <v>1.43</v>
      </c>
      <c r="CL8" s="85"/>
      <c r="CM8" s="24"/>
      <c r="CN8" s="24">
        <v>178</v>
      </c>
      <c r="CO8" s="23" t="s">
        <v>39</v>
      </c>
      <c r="CP8" s="23">
        <v>50</v>
      </c>
      <c r="CQ8" s="27">
        <v>10.6</v>
      </c>
      <c r="CR8" s="27">
        <v>7.91</v>
      </c>
      <c r="CS8" s="27">
        <v>7.44</v>
      </c>
      <c r="CT8" s="31">
        <f t="shared" si="7"/>
        <v>143.35</v>
      </c>
      <c r="CU8" s="27"/>
    </row>
    <row r="9" spans="1:99" x14ac:dyDescent="0.3">
      <c r="B9" s="18">
        <v>392</v>
      </c>
      <c r="C9" s="18" t="s">
        <v>53</v>
      </c>
      <c r="D9" s="18">
        <v>180</v>
      </c>
      <c r="E9" s="21">
        <v>0.06</v>
      </c>
      <c r="F9" s="21">
        <v>0.02</v>
      </c>
      <c r="G9" s="21">
        <v>9.99</v>
      </c>
      <c r="H9" s="14">
        <f t="shared" si="8"/>
        <v>40.380000000000003</v>
      </c>
      <c r="I9" s="12">
        <v>0.03</v>
      </c>
      <c r="J9" s="89"/>
      <c r="K9" s="24"/>
      <c r="L9" s="18">
        <v>368</v>
      </c>
      <c r="M9" s="18" t="s">
        <v>52</v>
      </c>
      <c r="N9" s="18">
        <v>100</v>
      </c>
      <c r="O9" s="14">
        <v>0.4</v>
      </c>
      <c r="P9" s="14">
        <v>0.4</v>
      </c>
      <c r="Q9" s="14">
        <v>9.8000000000000007</v>
      </c>
      <c r="R9" s="13">
        <f t="shared" si="1"/>
        <v>44.400000000000006</v>
      </c>
      <c r="S9" s="14">
        <v>10</v>
      </c>
      <c r="T9" s="89"/>
      <c r="U9" s="24"/>
      <c r="V9" s="18"/>
      <c r="W9" s="19" t="s">
        <v>54</v>
      </c>
      <c r="X9" s="19">
        <v>50</v>
      </c>
      <c r="Y9" s="21">
        <v>3.3</v>
      </c>
      <c r="Z9" s="21">
        <v>0.6</v>
      </c>
      <c r="AA9" s="21">
        <v>16.7</v>
      </c>
      <c r="AB9" s="13">
        <f t="shared" si="2"/>
        <v>85.4</v>
      </c>
      <c r="AC9" s="22"/>
      <c r="AD9" s="89"/>
      <c r="AE9" s="24"/>
      <c r="AF9" s="18">
        <v>368</v>
      </c>
      <c r="AG9" s="18" t="s">
        <v>52</v>
      </c>
      <c r="AH9" s="18">
        <v>100</v>
      </c>
      <c r="AI9" s="14">
        <v>0.4</v>
      </c>
      <c r="AJ9" s="14">
        <v>0.4</v>
      </c>
      <c r="AK9" s="14">
        <v>9.8000000000000007</v>
      </c>
      <c r="AL9" s="21">
        <f t="shared" si="0"/>
        <v>44.400000000000006</v>
      </c>
      <c r="AM9" s="14">
        <v>10</v>
      </c>
      <c r="AN9" s="89"/>
      <c r="AO9" s="24"/>
      <c r="AP9" s="18">
        <v>392</v>
      </c>
      <c r="AQ9" s="18" t="s">
        <v>53</v>
      </c>
      <c r="AR9" s="18">
        <v>180</v>
      </c>
      <c r="AS9" s="22">
        <v>0.06</v>
      </c>
      <c r="AT9" s="22">
        <v>0.02</v>
      </c>
      <c r="AU9" s="22">
        <v>9.99</v>
      </c>
      <c r="AV9" s="13">
        <f>AU9*4+AT9*9+AS9*4</f>
        <v>40.380000000000003</v>
      </c>
      <c r="AW9" s="22">
        <v>0.03</v>
      </c>
      <c r="AX9" s="89"/>
      <c r="AY9" s="24"/>
      <c r="AZ9" s="18">
        <v>394</v>
      </c>
      <c r="BA9" s="18" t="s">
        <v>40</v>
      </c>
      <c r="BB9" s="18">
        <v>180</v>
      </c>
      <c r="BC9" s="14">
        <v>2.67</v>
      </c>
      <c r="BD9" s="14">
        <v>2.34</v>
      </c>
      <c r="BE9" s="14">
        <v>14.31</v>
      </c>
      <c r="BF9" s="14">
        <f>BE9*4+BD9*9+BC9*4</f>
        <v>88.97999999999999</v>
      </c>
      <c r="BG9" s="22">
        <v>1.2</v>
      </c>
      <c r="BH9" s="85"/>
      <c r="BI9" s="24"/>
      <c r="BJ9" s="10"/>
      <c r="BK9" s="10"/>
      <c r="BL9" s="10"/>
      <c r="BM9" s="24"/>
      <c r="BN9" s="24"/>
      <c r="BO9" s="33"/>
      <c r="BP9" s="33"/>
      <c r="BQ9" s="24"/>
      <c r="BR9" s="85"/>
      <c r="BS9" s="24"/>
      <c r="BT9" s="18">
        <v>392</v>
      </c>
      <c r="BU9" s="18" t="s">
        <v>53</v>
      </c>
      <c r="BV9" s="18">
        <v>180</v>
      </c>
      <c r="BW9" s="14">
        <v>0.06</v>
      </c>
      <c r="BX9" s="14">
        <v>0.02</v>
      </c>
      <c r="BY9" s="14">
        <v>9.99</v>
      </c>
      <c r="BZ9" s="21">
        <f>BY9*4+BX9*9+BW9*4</f>
        <v>40.380000000000003</v>
      </c>
      <c r="CA9" s="14">
        <v>0.03</v>
      </c>
      <c r="CB9" s="85"/>
      <c r="CC9" s="24"/>
      <c r="CD9" s="18"/>
      <c r="CE9" s="18" t="s">
        <v>54</v>
      </c>
      <c r="CF9" s="18">
        <v>25</v>
      </c>
      <c r="CG9" s="14">
        <v>1.65</v>
      </c>
      <c r="CH9" s="14">
        <v>0.18</v>
      </c>
      <c r="CI9" s="14">
        <v>8.5299999999999994</v>
      </c>
      <c r="CJ9" s="21">
        <f t="shared" si="6"/>
        <v>42.339999999999996</v>
      </c>
      <c r="CK9" s="14"/>
      <c r="CL9" s="85"/>
      <c r="CM9" s="24"/>
      <c r="CN9" s="18">
        <v>392</v>
      </c>
      <c r="CO9" s="18" t="s">
        <v>53</v>
      </c>
      <c r="CP9" s="18">
        <v>180</v>
      </c>
      <c r="CQ9" s="14">
        <v>0.06</v>
      </c>
      <c r="CR9" s="14">
        <v>0.02</v>
      </c>
      <c r="CS9" s="14">
        <v>9.99</v>
      </c>
      <c r="CT9" s="21">
        <f t="shared" si="7"/>
        <v>40.380000000000003</v>
      </c>
      <c r="CU9" s="14">
        <v>0.03</v>
      </c>
    </row>
    <row r="10" spans="1:99" x14ac:dyDescent="0.3">
      <c r="B10" s="18"/>
      <c r="C10" s="19" t="s">
        <v>49</v>
      </c>
      <c r="D10" s="19">
        <v>40</v>
      </c>
      <c r="E10" s="12">
        <v>3.16</v>
      </c>
      <c r="F10" s="12">
        <v>0.4</v>
      </c>
      <c r="G10" s="13">
        <v>19.32</v>
      </c>
      <c r="H10" s="14">
        <f t="shared" si="8"/>
        <v>93.52</v>
      </c>
      <c r="I10" s="12"/>
      <c r="J10" s="89"/>
      <c r="K10" s="24"/>
      <c r="L10" s="18"/>
      <c r="M10" s="18" t="s">
        <v>49</v>
      </c>
      <c r="N10" s="18">
        <v>20</v>
      </c>
      <c r="O10" s="14">
        <f>7.9*20/100</f>
        <v>1.58</v>
      </c>
      <c r="P10" s="14">
        <f>1*20/100</f>
        <v>0.2</v>
      </c>
      <c r="Q10" s="14">
        <f>48.3*20/100</f>
        <v>9.66</v>
      </c>
      <c r="R10" s="13">
        <f t="shared" si="1"/>
        <v>46.76</v>
      </c>
      <c r="S10" s="14"/>
      <c r="T10" s="89"/>
      <c r="U10" s="24"/>
      <c r="AD10" s="89"/>
      <c r="AE10" s="24"/>
      <c r="AN10" s="89"/>
      <c r="AO10" s="24"/>
      <c r="AP10" s="18"/>
      <c r="AQ10" s="18" t="s">
        <v>49</v>
      </c>
      <c r="AR10" s="18">
        <v>30</v>
      </c>
      <c r="AS10" s="21">
        <v>2.37</v>
      </c>
      <c r="AT10" s="21">
        <v>0.3</v>
      </c>
      <c r="AU10" s="21">
        <v>14.49</v>
      </c>
      <c r="AV10" s="13">
        <f>AU10*4+AT10*9+AS10*4</f>
        <v>70.14</v>
      </c>
      <c r="AW10" s="22"/>
      <c r="AX10" s="89"/>
      <c r="AY10" s="24"/>
      <c r="AZ10" s="18"/>
      <c r="BA10" s="18" t="s">
        <v>49</v>
      </c>
      <c r="BB10" s="18">
        <v>30</v>
      </c>
      <c r="BC10" s="14">
        <v>2.37</v>
      </c>
      <c r="BD10" s="14">
        <v>0.3</v>
      </c>
      <c r="BE10" s="14">
        <v>14.49</v>
      </c>
      <c r="BF10" s="13">
        <f t="shared" ref="BF10" si="9">BE10*4+BD10*9+BC10*4</f>
        <v>70.14</v>
      </c>
      <c r="BG10" s="22"/>
      <c r="BH10" s="85"/>
      <c r="BI10" s="24"/>
      <c r="BK10" s="24"/>
      <c r="BL10" s="24"/>
      <c r="BM10" s="24"/>
      <c r="BN10" s="24"/>
      <c r="BO10" s="24"/>
      <c r="BP10" s="24"/>
      <c r="BQ10" s="24"/>
      <c r="BR10" s="85"/>
      <c r="BS10" s="24"/>
      <c r="BT10" s="28"/>
      <c r="BU10" s="18" t="s">
        <v>49</v>
      </c>
      <c r="BV10" s="18">
        <v>20</v>
      </c>
      <c r="BW10" s="14">
        <f>7.9*20/100</f>
        <v>1.58</v>
      </c>
      <c r="BX10" s="14">
        <f>1*20/100</f>
        <v>0.2</v>
      </c>
      <c r="BY10" s="14">
        <f>48.3*20/100</f>
        <v>9.66</v>
      </c>
      <c r="BZ10" s="21">
        <f>BY10*4+BX10*9+BW10*4</f>
        <v>46.76</v>
      </c>
      <c r="CA10" s="14"/>
      <c r="CB10" s="85"/>
      <c r="CC10" s="24"/>
      <c r="CD10" s="18"/>
      <c r="CE10" s="18"/>
      <c r="CF10" s="18"/>
      <c r="CG10" s="34"/>
      <c r="CH10" s="34"/>
      <c r="CI10" s="34"/>
      <c r="CJ10" s="34"/>
      <c r="CK10" s="34"/>
      <c r="CL10" s="85"/>
      <c r="CM10" s="24"/>
      <c r="CN10" s="18"/>
      <c r="CO10" s="18" t="s">
        <v>54</v>
      </c>
      <c r="CP10" s="18">
        <v>25</v>
      </c>
      <c r="CQ10" s="14">
        <v>1.65</v>
      </c>
      <c r="CR10" s="14">
        <v>0.18</v>
      </c>
      <c r="CS10" s="14">
        <v>8.5299999999999994</v>
      </c>
      <c r="CT10" s="21">
        <v>41.62</v>
      </c>
      <c r="CU10" s="14"/>
    </row>
    <row r="11" spans="1:99" x14ac:dyDescent="0.3">
      <c r="J11" s="89"/>
      <c r="K11" s="24"/>
      <c r="T11" s="89"/>
      <c r="U11" s="24"/>
      <c r="W11" s="24"/>
      <c r="X11" s="24"/>
      <c r="Y11" s="36"/>
      <c r="Z11" s="36"/>
      <c r="AA11" s="36"/>
      <c r="AB11" s="36"/>
      <c r="AC11" s="24"/>
      <c r="AD11" s="89"/>
      <c r="AE11" s="24"/>
      <c r="AG11" s="24"/>
      <c r="AH11" s="24"/>
      <c r="AI11" s="24"/>
      <c r="AJ11" s="24"/>
      <c r="AK11" s="24"/>
      <c r="AL11" s="24"/>
      <c r="AM11" s="24"/>
      <c r="AN11" s="89"/>
      <c r="AO11" s="24"/>
      <c r="AX11" s="89"/>
      <c r="AY11" s="24"/>
      <c r="BA11" s="24"/>
      <c r="BB11" s="24"/>
      <c r="BC11" s="24"/>
      <c r="BD11" s="24"/>
      <c r="BE11" s="24"/>
      <c r="BF11" s="24"/>
      <c r="BG11" s="24"/>
      <c r="BH11" s="85"/>
      <c r="BI11" s="24"/>
      <c r="BK11" s="24"/>
      <c r="BL11" s="24"/>
      <c r="BM11" s="24"/>
      <c r="BN11" s="24"/>
      <c r="BO11" s="24"/>
      <c r="BP11" s="24"/>
      <c r="BQ11" s="24"/>
      <c r="BR11" s="85"/>
      <c r="BS11" s="24"/>
      <c r="BT11" s="18">
        <v>368</v>
      </c>
      <c r="BU11" s="18" t="s">
        <v>52</v>
      </c>
      <c r="BV11" s="18">
        <v>100</v>
      </c>
      <c r="BW11" s="14">
        <v>0.4</v>
      </c>
      <c r="BX11" s="14">
        <v>0.4</v>
      </c>
      <c r="BY11" s="14">
        <v>9.8000000000000007</v>
      </c>
      <c r="BZ11" s="13">
        <f>BY11*4+BX11*9+BW11*4</f>
        <v>44.400000000000006</v>
      </c>
      <c r="CA11" s="14">
        <v>10</v>
      </c>
      <c r="CB11" s="85"/>
      <c r="CC11" s="24"/>
      <c r="CE11" s="24"/>
      <c r="CF11" s="37"/>
      <c r="CG11" s="38"/>
      <c r="CH11" s="38"/>
      <c r="CI11" s="38"/>
      <c r="CJ11" s="38"/>
      <c r="CK11" s="38"/>
      <c r="CL11" s="86"/>
      <c r="CM11" s="24"/>
      <c r="CO11" s="24"/>
      <c r="CP11" s="24"/>
      <c r="CQ11" s="36"/>
      <c r="CR11" s="36"/>
      <c r="CS11" s="36"/>
      <c r="CT11" s="36"/>
      <c r="CU11" s="36"/>
    </row>
    <row r="12" spans="1:99" x14ac:dyDescent="0.3">
      <c r="A12" s="39" t="s">
        <v>55</v>
      </c>
      <c r="B12" s="40"/>
      <c r="C12" s="39"/>
      <c r="D12" s="41">
        <f t="shared" ref="D12:I12" si="10">SUM(D5:D10)</f>
        <v>575</v>
      </c>
      <c r="E12" s="41">
        <f t="shared" si="10"/>
        <v>35.769999999999996</v>
      </c>
      <c r="F12" s="41">
        <f t="shared" si="10"/>
        <v>31.11</v>
      </c>
      <c r="G12" s="41">
        <f t="shared" si="10"/>
        <v>86.199999999999989</v>
      </c>
      <c r="H12" s="41">
        <f t="shared" si="10"/>
        <v>767.87</v>
      </c>
      <c r="I12" s="41">
        <f t="shared" si="10"/>
        <v>2.992</v>
      </c>
      <c r="J12" s="89"/>
      <c r="K12" s="40" t="s">
        <v>55</v>
      </c>
      <c r="L12" s="40"/>
      <c r="M12" s="40"/>
      <c r="N12" s="42">
        <f t="shared" ref="N12:S12" si="11">SUM(N5:N10)</f>
        <v>530</v>
      </c>
      <c r="O12" s="42">
        <f t="shared" si="11"/>
        <v>23.05833333333333</v>
      </c>
      <c r="P12" s="42">
        <f t="shared" si="11"/>
        <v>25.408333333333328</v>
      </c>
      <c r="Q12" s="42">
        <f t="shared" si="11"/>
        <v>70.703333333333333</v>
      </c>
      <c r="R12" s="42">
        <f t="shared" si="11"/>
        <v>603.72166666666658</v>
      </c>
      <c r="S12" s="42">
        <f t="shared" si="11"/>
        <v>12.41</v>
      </c>
      <c r="T12" s="89"/>
      <c r="U12" s="40" t="s">
        <v>55</v>
      </c>
      <c r="V12" s="40"/>
      <c r="W12" s="40"/>
      <c r="X12" s="42">
        <f>SUM(X5:X11)</f>
        <v>495</v>
      </c>
      <c r="Y12" s="42">
        <f t="shared" ref="Y12:AC12" si="12">SUM(Y5:Y11)</f>
        <v>25.890000000000004</v>
      </c>
      <c r="Z12" s="42">
        <f t="shared" si="12"/>
        <v>22.710000000000004</v>
      </c>
      <c r="AA12" s="42">
        <f t="shared" si="12"/>
        <v>64.679999999999993</v>
      </c>
      <c r="AB12" s="42">
        <f t="shared" si="12"/>
        <v>566.66999999999996</v>
      </c>
      <c r="AC12" s="42">
        <f t="shared" si="12"/>
        <v>1.17</v>
      </c>
      <c r="AD12" s="89"/>
      <c r="AE12" s="40" t="s">
        <v>55</v>
      </c>
      <c r="AF12" s="40"/>
      <c r="AG12" s="40"/>
      <c r="AH12" s="42">
        <f>SUM(AH5:AH11)</f>
        <v>535</v>
      </c>
      <c r="AI12" s="42">
        <f t="shared" ref="AI12:AK12" si="13">SUM(AI5:AI11)</f>
        <v>15.280000000000001</v>
      </c>
      <c r="AJ12" s="42">
        <f t="shared" si="13"/>
        <v>12.618</v>
      </c>
      <c r="AK12" s="42">
        <f t="shared" si="13"/>
        <v>59.41</v>
      </c>
      <c r="AL12" s="42">
        <f t="shared" ref="AL12:AM12" si="14">SUM(AL5:AL8)</f>
        <v>367.92199999999997</v>
      </c>
      <c r="AM12" s="42">
        <f t="shared" si="14"/>
        <v>2.2749999999999999</v>
      </c>
      <c r="AN12" s="89"/>
      <c r="AO12" s="40" t="s">
        <v>55</v>
      </c>
      <c r="AP12" s="40"/>
      <c r="AQ12" s="40"/>
      <c r="AR12" s="42">
        <f>SUM(AR5:AR11)</f>
        <v>530</v>
      </c>
      <c r="AS12" s="42">
        <f t="shared" ref="AS12:AW12" si="15">SUM(AS5:AS11)</f>
        <v>19.29</v>
      </c>
      <c r="AT12" s="42">
        <f t="shared" si="15"/>
        <v>17.490000000000002</v>
      </c>
      <c r="AU12" s="42">
        <f t="shared" si="15"/>
        <v>70.785000000000011</v>
      </c>
      <c r="AV12" s="42">
        <f t="shared" si="15"/>
        <v>517.70999999999992</v>
      </c>
      <c r="AW12" s="42">
        <f t="shared" si="15"/>
        <v>7.38</v>
      </c>
      <c r="AX12" s="89"/>
      <c r="AY12" s="40" t="s">
        <v>55</v>
      </c>
      <c r="AZ12" s="40"/>
      <c r="BA12" s="40"/>
      <c r="BB12" s="42">
        <f>SUM(BB5:BB11)</f>
        <v>470</v>
      </c>
      <c r="BC12" s="42">
        <f>SUM(BC5:BC10)</f>
        <v>26.353870967741937</v>
      </c>
      <c r="BD12" s="42">
        <f>SUM(BD5:BD10)</f>
        <v>27.508709677419354</v>
      </c>
      <c r="BE12" s="42">
        <f>SUM(BE5:BE10)</f>
        <v>66.111129032258063</v>
      </c>
      <c r="BF12" s="42">
        <f>SUM(BF5:BF10)</f>
        <v>617.43838709677414</v>
      </c>
      <c r="BG12" s="42">
        <f>SUM(BG5:BG10)</f>
        <v>6.7996774193548388</v>
      </c>
      <c r="BH12" s="85"/>
      <c r="BI12" s="40" t="s">
        <v>55</v>
      </c>
      <c r="BJ12" s="40"/>
      <c r="BK12" s="40"/>
      <c r="BL12" s="42">
        <f>SUM(BL5:BL11)</f>
        <v>530</v>
      </c>
      <c r="BM12" s="42">
        <f t="shared" ref="BM12:BQ12" si="16">SUM(BM5:BM11)</f>
        <v>11.77</v>
      </c>
      <c r="BN12" s="42">
        <f t="shared" si="16"/>
        <v>15.17</v>
      </c>
      <c r="BO12" s="42">
        <f t="shared" si="16"/>
        <v>57.75</v>
      </c>
      <c r="BP12" s="42">
        <f t="shared" si="16"/>
        <v>414.61</v>
      </c>
      <c r="BQ12" s="42">
        <f t="shared" si="16"/>
        <v>11.24</v>
      </c>
      <c r="BR12" s="85"/>
      <c r="BS12" s="40" t="s">
        <v>55</v>
      </c>
      <c r="BT12" s="40"/>
      <c r="BU12" s="40"/>
      <c r="BV12" s="42">
        <f t="shared" ref="BV12:CA12" si="17">SUM(BV5:BV11)</f>
        <v>580</v>
      </c>
      <c r="BW12" s="42">
        <f t="shared" si="17"/>
        <v>14.840000000000002</v>
      </c>
      <c r="BX12" s="42">
        <f t="shared" si="17"/>
        <v>13.654999999999999</v>
      </c>
      <c r="BY12" s="42">
        <f t="shared" si="17"/>
        <v>58.259999999999991</v>
      </c>
      <c r="BZ12" s="42">
        <f t="shared" si="17"/>
        <v>415.29499999999996</v>
      </c>
      <c r="CA12" s="42">
        <f t="shared" si="17"/>
        <v>13.298999999999999</v>
      </c>
      <c r="CB12" s="85"/>
      <c r="CC12" s="40" t="s">
        <v>55</v>
      </c>
      <c r="CD12" s="40"/>
      <c r="CE12" s="40"/>
      <c r="CF12" s="43">
        <f>SUM(CF5:CF11)</f>
        <v>480</v>
      </c>
      <c r="CG12" s="43">
        <f t="shared" ref="CG12:CK12" si="18">SUM(CG5:CG11)</f>
        <v>17.098333333333333</v>
      </c>
      <c r="CH12" s="43">
        <f t="shared" si="18"/>
        <v>24.268333333333331</v>
      </c>
      <c r="CI12" s="43">
        <f t="shared" si="18"/>
        <v>58.233333333333334</v>
      </c>
      <c r="CJ12" s="43">
        <f t="shared" si="18"/>
        <v>519.74166666666667</v>
      </c>
      <c r="CK12" s="43">
        <f t="shared" si="18"/>
        <v>1.49</v>
      </c>
      <c r="CL12" s="85"/>
      <c r="CM12" s="40" t="s">
        <v>55</v>
      </c>
      <c r="CN12" s="40"/>
      <c r="CO12" s="40"/>
      <c r="CP12" s="42">
        <f t="shared" ref="CP12:CU12" si="19">SUM(CP5:CP11)</f>
        <v>550</v>
      </c>
      <c r="CQ12" s="42">
        <f t="shared" si="19"/>
        <v>24.88</v>
      </c>
      <c r="CR12" s="42">
        <f t="shared" si="19"/>
        <v>27.65</v>
      </c>
      <c r="CS12" s="42">
        <f t="shared" si="19"/>
        <v>76.22999999999999</v>
      </c>
      <c r="CT12" s="42">
        <f t="shared" si="19"/>
        <v>652.56999999999994</v>
      </c>
      <c r="CU12" s="42">
        <f t="shared" si="19"/>
        <v>1.4200000000000002</v>
      </c>
    </row>
    <row r="13" spans="1:99" x14ac:dyDescent="0.3">
      <c r="A13" s="39" t="s">
        <v>56</v>
      </c>
      <c r="B13" s="40"/>
      <c r="C13" s="39"/>
      <c r="D13" s="39" t="s">
        <v>57</v>
      </c>
      <c r="E13" s="39">
        <v>13.5</v>
      </c>
      <c r="F13" s="39">
        <v>15</v>
      </c>
      <c r="G13" s="41">
        <v>65.25</v>
      </c>
      <c r="H13" s="41">
        <v>450</v>
      </c>
      <c r="I13" s="39"/>
      <c r="J13" s="89"/>
      <c r="K13" s="40" t="s">
        <v>56</v>
      </c>
      <c r="L13" s="40"/>
      <c r="M13" s="40"/>
      <c r="N13" s="40" t="s">
        <v>57</v>
      </c>
      <c r="O13" s="40">
        <v>13.5</v>
      </c>
      <c r="P13" s="40">
        <v>15</v>
      </c>
      <c r="Q13" s="42">
        <v>65.25</v>
      </c>
      <c r="R13" s="42">
        <v>450</v>
      </c>
      <c r="S13" s="40"/>
      <c r="T13" s="89"/>
      <c r="U13" s="40" t="s">
        <v>56</v>
      </c>
      <c r="V13" s="40"/>
      <c r="W13" s="40"/>
      <c r="X13" s="40" t="s">
        <v>57</v>
      </c>
      <c r="Y13" s="40">
        <v>13.5</v>
      </c>
      <c r="Z13" s="40">
        <v>15</v>
      </c>
      <c r="AA13" s="42">
        <v>65.25</v>
      </c>
      <c r="AB13" s="42">
        <v>450</v>
      </c>
      <c r="AC13" s="40"/>
      <c r="AD13" s="89"/>
      <c r="AE13" s="40" t="s">
        <v>56</v>
      </c>
      <c r="AF13" s="40"/>
      <c r="AG13" s="40"/>
      <c r="AH13" s="40" t="s">
        <v>57</v>
      </c>
      <c r="AI13" s="40">
        <v>13.5</v>
      </c>
      <c r="AJ13" s="40">
        <v>15</v>
      </c>
      <c r="AK13" s="42">
        <v>65.25</v>
      </c>
      <c r="AL13" s="42">
        <v>450</v>
      </c>
      <c r="AM13" s="40"/>
      <c r="AN13" s="89"/>
      <c r="AO13" s="40" t="s">
        <v>56</v>
      </c>
      <c r="AP13" s="40"/>
      <c r="AQ13" s="40"/>
      <c r="AR13" s="40" t="s">
        <v>57</v>
      </c>
      <c r="AS13" s="40">
        <v>13.5</v>
      </c>
      <c r="AT13" s="40">
        <v>15</v>
      </c>
      <c r="AU13" s="42">
        <v>65.25</v>
      </c>
      <c r="AV13" s="42">
        <v>450</v>
      </c>
      <c r="AW13" s="40"/>
      <c r="AX13" s="89"/>
      <c r="AY13" s="40" t="s">
        <v>56</v>
      </c>
      <c r="AZ13" s="40"/>
      <c r="BA13" s="40"/>
      <c r="BB13" s="40" t="s">
        <v>57</v>
      </c>
      <c r="BC13" s="40">
        <v>13.5</v>
      </c>
      <c r="BD13" s="40">
        <v>15</v>
      </c>
      <c r="BE13" s="42">
        <v>65.25</v>
      </c>
      <c r="BF13" s="42">
        <v>450</v>
      </c>
      <c r="BG13" s="40"/>
      <c r="BH13" s="85"/>
      <c r="BI13" s="40" t="s">
        <v>56</v>
      </c>
      <c r="BJ13" s="40"/>
      <c r="BK13" s="40"/>
      <c r="BL13" s="40" t="s">
        <v>57</v>
      </c>
      <c r="BM13" s="40">
        <v>13.5</v>
      </c>
      <c r="BN13" s="40">
        <v>15</v>
      </c>
      <c r="BO13" s="42">
        <v>65.25</v>
      </c>
      <c r="BP13" s="42">
        <v>450</v>
      </c>
      <c r="BQ13" s="40"/>
      <c r="BR13" s="85"/>
      <c r="BS13" s="40" t="s">
        <v>56</v>
      </c>
      <c r="BT13" s="40"/>
      <c r="BU13" s="40"/>
      <c r="BV13" s="40" t="s">
        <v>57</v>
      </c>
      <c r="BW13" s="40">
        <v>13.5</v>
      </c>
      <c r="BX13" s="40">
        <v>15</v>
      </c>
      <c r="BY13" s="42">
        <v>65.25</v>
      </c>
      <c r="BZ13" s="42">
        <v>450</v>
      </c>
      <c r="CA13" s="40"/>
      <c r="CB13" s="85"/>
      <c r="CC13" s="40" t="s">
        <v>56</v>
      </c>
      <c r="CD13" s="40"/>
      <c r="CE13" s="40"/>
      <c r="CF13" s="40" t="s">
        <v>57</v>
      </c>
      <c r="CG13" s="40">
        <v>13.5</v>
      </c>
      <c r="CH13" s="40">
        <v>15</v>
      </c>
      <c r="CI13" s="42">
        <v>65.25</v>
      </c>
      <c r="CJ13" s="42">
        <v>450</v>
      </c>
      <c r="CK13" s="40"/>
      <c r="CL13" s="85"/>
      <c r="CM13" s="40" t="s">
        <v>56</v>
      </c>
      <c r="CN13" s="40"/>
      <c r="CO13" s="40"/>
      <c r="CP13" s="40" t="s">
        <v>57</v>
      </c>
      <c r="CQ13" s="40">
        <v>13.5</v>
      </c>
      <c r="CR13" s="40">
        <v>15</v>
      </c>
      <c r="CS13" s="42">
        <v>65.25</v>
      </c>
      <c r="CT13" s="42">
        <v>450</v>
      </c>
      <c r="CU13" s="40"/>
    </row>
    <row r="14" spans="1:99" x14ac:dyDescent="0.3">
      <c r="J14" s="89"/>
      <c r="K14" s="44"/>
      <c r="M14" s="44"/>
      <c r="N14" s="44"/>
      <c r="O14" s="44"/>
      <c r="P14" s="44"/>
      <c r="Q14" s="45"/>
      <c r="R14" s="45"/>
      <c r="S14" s="44"/>
      <c r="T14" s="89"/>
      <c r="U14" s="24"/>
      <c r="W14" s="24"/>
      <c r="X14" s="24"/>
      <c r="Y14" s="24"/>
      <c r="Z14" s="24"/>
      <c r="AA14" s="33"/>
      <c r="AB14" s="33"/>
      <c r="AC14" s="24"/>
      <c r="AD14" s="89"/>
      <c r="AE14" s="24"/>
      <c r="AG14" s="24"/>
      <c r="AH14" s="24"/>
      <c r="AI14" s="24"/>
      <c r="AJ14" s="24"/>
      <c r="AK14" s="33"/>
      <c r="AL14" s="33"/>
      <c r="AM14" s="24"/>
      <c r="AN14" s="89"/>
      <c r="AO14" s="24"/>
      <c r="AQ14" s="24"/>
      <c r="AR14" s="24"/>
      <c r="AS14" s="24"/>
      <c r="AT14" s="24"/>
      <c r="AU14" s="33"/>
      <c r="AV14" s="33"/>
      <c r="AW14" s="24"/>
      <c r="AX14" s="89"/>
      <c r="AY14" s="24"/>
      <c r="BA14" s="24"/>
      <c r="BB14" s="24"/>
      <c r="BC14" s="24"/>
      <c r="BD14" s="24"/>
      <c r="BE14" s="33"/>
      <c r="BF14" s="33"/>
      <c r="BG14" s="24"/>
      <c r="BH14" s="85"/>
      <c r="BI14" s="24"/>
      <c r="BK14" s="24"/>
      <c r="BL14" s="24"/>
      <c r="BM14" s="24"/>
      <c r="BN14" s="24"/>
      <c r="BO14" s="33"/>
      <c r="BP14" s="33"/>
      <c r="BQ14" s="24"/>
      <c r="BR14" s="85"/>
      <c r="BS14" s="24"/>
      <c r="BU14" s="24"/>
      <c r="BV14" s="24"/>
      <c r="BW14" s="24"/>
      <c r="BX14" s="24"/>
      <c r="BY14" s="33"/>
      <c r="BZ14" s="33"/>
      <c r="CA14" s="24"/>
      <c r="CB14" s="85"/>
      <c r="CC14" s="24"/>
      <c r="CE14" s="24"/>
      <c r="CF14" s="24"/>
      <c r="CG14" s="24"/>
      <c r="CH14" s="24"/>
      <c r="CI14" s="33"/>
      <c r="CJ14" s="33"/>
      <c r="CK14" s="24"/>
      <c r="CL14" s="85"/>
      <c r="CM14" s="44"/>
      <c r="CO14" s="44"/>
      <c r="CP14" s="44"/>
      <c r="CQ14" s="44"/>
      <c r="CR14" s="44"/>
      <c r="CS14" s="45"/>
      <c r="CT14" s="45"/>
      <c r="CU14" s="44"/>
    </row>
    <row r="15" spans="1:99" x14ac:dyDescent="0.3">
      <c r="A15" s="72" t="s">
        <v>58</v>
      </c>
      <c r="B15" s="73"/>
      <c r="C15" s="73"/>
      <c r="D15" s="73"/>
      <c r="E15" s="73"/>
      <c r="F15" s="73"/>
      <c r="G15" s="73"/>
      <c r="H15" s="73"/>
      <c r="I15" s="74"/>
      <c r="J15" s="89"/>
      <c r="K15" s="72" t="s">
        <v>58</v>
      </c>
      <c r="L15" s="73"/>
      <c r="M15" s="73"/>
      <c r="N15" s="73"/>
      <c r="O15" s="73"/>
      <c r="P15" s="73"/>
      <c r="Q15" s="73"/>
      <c r="R15" s="73"/>
      <c r="S15" s="74"/>
      <c r="T15" s="89"/>
      <c r="U15" s="72" t="s">
        <v>58</v>
      </c>
      <c r="V15" s="73"/>
      <c r="W15" s="73"/>
      <c r="X15" s="73"/>
      <c r="Y15" s="73"/>
      <c r="Z15" s="73"/>
      <c r="AA15" s="73"/>
      <c r="AB15" s="73"/>
      <c r="AC15" s="74"/>
      <c r="AD15" s="89"/>
      <c r="AE15" s="46" t="s">
        <v>59</v>
      </c>
      <c r="AF15" s="47"/>
      <c r="AG15" s="48"/>
      <c r="AH15" s="48"/>
      <c r="AI15" s="48"/>
      <c r="AJ15" s="48"/>
      <c r="AK15" s="48"/>
      <c r="AL15" s="48"/>
      <c r="AM15" s="49"/>
      <c r="AN15" s="89"/>
      <c r="AO15" s="72" t="s">
        <v>58</v>
      </c>
      <c r="AP15" s="73"/>
      <c r="AQ15" s="73"/>
      <c r="AR15" s="73"/>
      <c r="AS15" s="73"/>
      <c r="AT15" s="73"/>
      <c r="AU15" s="73"/>
      <c r="AV15" s="73"/>
      <c r="AW15" s="74"/>
      <c r="AX15" s="89"/>
      <c r="AY15" s="72" t="s">
        <v>58</v>
      </c>
      <c r="AZ15" s="73"/>
      <c r="BA15" s="73"/>
      <c r="BB15" s="73"/>
      <c r="BC15" s="73"/>
      <c r="BD15" s="73"/>
      <c r="BE15" s="73"/>
      <c r="BF15" s="73"/>
      <c r="BG15" s="74"/>
      <c r="BH15" s="85"/>
      <c r="BI15" s="72" t="s">
        <v>58</v>
      </c>
      <c r="BJ15" s="73"/>
      <c r="BK15" s="73"/>
      <c r="BL15" s="73"/>
      <c r="BM15" s="73"/>
      <c r="BN15" s="73"/>
      <c r="BO15" s="73"/>
      <c r="BP15" s="73"/>
      <c r="BQ15" s="74"/>
      <c r="BR15" s="85"/>
      <c r="BS15" s="72" t="s">
        <v>58</v>
      </c>
      <c r="BT15" s="73"/>
      <c r="BU15" s="73"/>
      <c r="BV15" s="73"/>
      <c r="BW15" s="73"/>
      <c r="BX15" s="73"/>
      <c r="BY15" s="73"/>
      <c r="BZ15" s="73"/>
      <c r="CA15" s="74"/>
      <c r="CB15" s="85"/>
      <c r="CC15" s="72" t="s">
        <v>58</v>
      </c>
      <c r="CD15" s="73"/>
      <c r="CE15" s="73"/>
      <c r="CF15" s="73"/>
      <c r="CG15" s="73"/>
      <c r="CH15" s="73"/>
      <c r="CI15" s="73"/>
      <c r="CJ15" s="73"/>
      <c r="CK15" s="74"/>
      <c r="CL15" s="85"/>
      <c r="CM15" s="72" t="s">
        <v>58</v>
      </c>
      <c r="CN15" s="73"/>
      <c r="CO15" s="73"/>
      <c r="CP15" s="73"/>
      <c r="CQ15" s="73"/>
      <c r="CR15" s="73"/>
      <c r="CS15" s="73"/>
      <c r="CT15" s="73"/>
      <c r="CU15" s="74"/>
    </row>
    <row r="16" spans="1:99" x14ac:dyDescent="0.3">
      <c r="B16" s="18">
        <v>399</v>
      </c>
      <c r="C16" s="19" t="s">
        <v>60</v>
      </c>
      <c r="D16" s="19">
        <v>200</v>
      </c>
      <c r="E16" s="23">
        <v>1</v>
      </c>
      <c r="F16" s="23">
        <v>0</v>
      </c>
      <c r="G16" s="35">
        <v>14.55</v>
      </c>
      <c r="H16" s="35">
        <v>62.22</v>
      </c>
      <c r="I16" s="23">
        <v>170</v>
      </c>
      <c r="J16" s="89"/>
      <c r="K16" s="44"/>
      <c r="L16" s="18">
        <v>401</v>
      </c>
      <c r="M16" s="18" t="s">
        <v>61</v>
      </c>
      <c r="N16" s="18">
        <v>200</v>
      </c>
      <c r="O16" s="22">
        <v>5.22</v>
      </c>
      <c r="P16" s="22">
        <v>4.5</v>
      </c>
      <c r="Q16" s="22">
        <v>7.56</v>
      </c>
      <c r="R16" s="14">
        <f t="shared" ref="R16" si="20">Q16*4+P16*9+O16*4</f>
        <v>91.61999999999999</v>
      </c>
      <c r="S16" s="22">
        <v>0.54</v>
      </c>
      <c r="T16" s="89"/>
      <c r="U16" s="24"/>
      <c r="V16" s="18">
        <v>401</v>
      </c>
      <c r="W16" s="19" t="s">
        <v>61</v>
      </c>
      <c r="X16" s="19">
        <v>200</v>
      </c>
      <c r="Y16" s="50">
        <v>5.22</v>
      </c>
      <c r="Z16" s="50">
        <v>4.5</v>
      </c>
      <c r="AA16" s="50">
        <v>91.62</v>
      </c>
      <c r="AB16" s="50">
        <v>0.54</v>
      </c>
      <c r="AC16" s="22">
        <f>7.2*200/180</f>
        <v>8</v>
      </c>
      <c r="AD16" s="89"/>
      <c r="AE16" s="24"/>
      <c r="AF16" s="18"/>
      <c r="AG16" s="18" t="s">
        <v>62</v>
      </c>
      <c r="AH16" s="18">
        <v>165</v>
      </c>
      <c r="AI16" s="22">
        <v>0.1</v>
      </c>
      <c r="AJ16" s="22">
        <v>0</v>
      </c>
      <c r="AK16" s="22">
        <v>18</v>
      </c>
      <c r="AL16" s="22">
        <f>AK16*4+AJ16*9+AI16*4</f>
        <v>72.400000000000006</v>
      </c>
      <c r="AM16" s="22"/>
      <c r="AN16" s="89"/>
      <c r="AO16" s="24"/>
      <c r="AP16" s="18" t="s">
        <v>63</v>
      </c>
      <c r="AQ16" s="18" t="s">
        <v>62</v>
      </c>
      <c r="AR16" s="18">
        <v>165</v>
      </c>
      <c r="AS16" s="22">
        <v>0.1</v>
      </c>
      <c r="AT16" s="22">
        <v>0</v>
      </c>
      <c r="AU16" s="22">
        <v>18</v>
      </c>
      <c r="AV16" s="22">
        <f>AU16*4+AT16*9+AS16*4</f>
        <v>72.400000000000006</v>
      </c>
      <c r="AW16" s="22"/>
      <c r="AX16" s="89"/>
      <c r="AY16" s="24"/>
      <c r="AZ16" s="18">
        <v>399</v>
      </c>
      <c r="BA16" s="18" t="s">
        <v>64</v>
      </c>
      <c r="BB16" s="18">
        <v>200</v>
      </c>
      <c r="BC16" s="50">
        <f>200*0.54/180</f>
        <v>0.6</v>
      </c>
      <c r="BD16" s="50">
        <f>200*0.18/180</f>
        <v>0.2</v>
      </c>
      <c r="BE16" s="50">
        <f>27.36*200/180</f>
        <v>30.4</v>
      </c>
      <c r="BF16" s="50">
        <f>BE16*4+BD16*9+BC16*4</f>
        <v>125.8</v>
      </c>
      <c r="BG16" s="22">
        <f>7.2*200/180</f>
        <v>8</v>
      </c>
      <c r="BH16" s="85"/>
      <c r="BI16" s="24"/>
      <c r="BJ16" s="16"/>
      <c r="BK16" s="18" t="s">
        <v>62</v>
      </c>
      <c r="BL16" s="18">
        <v>165</v>
      </c>
      <c r="BM16" s="22">
        <v>0.1</v>
      </c>
      <c r="BN16" s="22">
        <v>0</v>
      </c>
      <c r="BO16" s="22">
        <v>18</v>
      </c>
      <c r="BP16" s="22">
        <f>BO16*4+BN16*9+BM16*4</f>
        <v>72.400000000000006</v>
      </c>
      <c r="BQ16" s="22"/>
      <c r="BR16" s="85"/>
      <c r="BS16" s="24"/>
      <c r="BT16" s="18">
        <v>399</v>
      </c>
      <c r="BU16" s="18" t="s">
        <v>65</v>
      </c>
      <c r="BV16" s="51">
        <v>200</v>
      </c>
      <c r="BW16" s="50">
        <f>200*0.54/180</f>
        <v>0.6</v>
      </c>
      <c r="BX16" s="50">
        <f>200*0.18/180</f>
        <v>0.2</v>
      </c>
      <c r="BY16" s="50">
        <f>27.36*200/180</f>
        <v>30.4</v>
      </c>
      <c r="BZ16" s="22">
        <f>BY16*4+BX16*9+BW16*4</f>
        <v>125.8</v>
      </c>
      <c r="CA16" s="22">
        <f>7.2*200/180</f>
        <v>8</v>
      </c>
      <c r="CB16" s="85"/>
      <c r="CC16" s="24"/>
      <c r="CD16" s="18">
        <v>399</v>
      </c>
      <c r="CE16" s="18" t="s">
        <v>65</v>
      </c>
      <c r="CF16" s="18">
        <v>180</v>
      </c>
      <c r="CG16" s="50">
        <f>200*0.54/180</f>
        <v>0.6</v>
      </c>
      <c r="CH16" s="50">
        <f>200*0.18/180</f>
        <v>0.2</v>
      </c>
      <c r="CI16" s="50">
        <f>27.36*200/180</f>
        <v>30.4</v>
      </c>
      <c r="CJ16" s="50">
        <f>CI16*4+CH16*9+CG16*4</f>
        <v>125.8</v>
      </c>
      <c r="CK16" s="22">
        <f>7.2*200/180</f>
        <v>8</v>
      </c>
      <c r="CL16" s="85"/>
      <c r="CM16" s="44"/>
      <c r="CN16" s="18">
        <v>399</v>
      </c>
      <c r="CO16" s="18" t="s">
        <v>65</v>
      </c>
      <c r="CP16" s="18">
        <v>180</v>
      </c>
      <c r="CQ16" s="50">
        <f>200*0.54/180</f>
        <v>0.6</v>
      </c>
      <c r="CR16" s="50">
        <f>200*0.18/180</f>
        <v>0.2</v>
      </c>
      <c r="CS16" s="50">
        <f>27.36*200/180</f>
        <v>30.4</v>
      </c>
      <c r="CT16" s="50">
        <f>CS16*4+CR16*9+CQ16*4</f>
        <v>125.8</v>
      </c>
      <c r="CU16" s="22">
        <f>7.2*200/180</f>
        <v>8</v>
      </c>
    </row>
    <row r="17" spans="1:99" x14ac:dyDescent="0.3">
      <c r="B17" s="18">
        <v>493</v>
      </c>
      <c r="C17" s="18" t="s">
        <v>66</v>
      </c>
      <c r="D17" s="18">
        <v>20</v>
      </c>
      <c r="E17" s="24">
        <v>1.78</v>
      </c>
      <c r="F17" s="24">
        <v>1.6</v>
      </c>
      <c r="G17" s="24">
        <v>17.5</v>
      </c>
      <c r="H17" s="24">
        <v>91.25</v>
      </c>
      <c r="J17" s="89"/>
      <c r="K17" s="44"/>
      <c r="Q17" s="52"/>
      <c r="R17" s="35"/>
      <c r="T17" s="89"/>
      <c r="U17" s="24"/>
      <c r="V17" s="18"/>
      <c r="W17" s="18" t="s">
        <v>66</v>
      </c>
      <c r="X17" s="18">
        <v>20</v>
      </c>
      <c r="Y17" s="22">
        <v>1.78</v>
      </c>
      <c r="Z17" s="22">
        <v>2.6</v>
      </c>
      <c r="AA17" s="22">
        <v>27.5</v>
      </c>
      <c r="AB17" s="22">
        <v>71.2</v>
      </c>
      <c r="AC17" s="22"/>
      <c r="AD17" s="89"/>
      <c r="AE17" s="24"/>
      <c r="AF17" s="18"/>
      <c r="AG17" s="18"/>
      <c r="AH17" s="53"/>
      <c r="AI17" s="21"/>
      <c r="AJ17" s="21"/>
      <c r="AK17" s="21"/>
      <c r="AL17" s="21"/>
      <c r="AM17" s="21"/>
      <c r="AN17" s="89"/>
      <c r="AO17" s="24"/>
      <c r="AP17" s="18"/>
      <c r="AQ17" s="18" t="s">
        <v>66</v>
      </c>
      <c r="AR17" s="18">
        <v>20</v>
      </c>
      <c r="AS17" s="22">
        <v>1.78</v>
      </c>
      <c r="AT17" s="22">
        <v>2.6</v>
      </c>
      <c r="AU17" s="22">
        <v>27.5</v>
      </c>
      <c r="AV17" s="22">
        <f>AU17*4+AT17*9+AS17*4</f>
        <v>140.52000000000001</v>
      </c>
      <c r="AW17" s="22">
        <f>0.01*20/100</f>
        <v>2E-3</v>
      </c>
      <c r="AX17" s="89"/>
      <c r="AY17" s="24"/>
      <c r="AZ17" s="18"/>
      <c r="BA17" s="18" t="s">
        <v>66</v>
      </c>
      <c r="BB17" s="18">
        <v>20</v>
      </c>
      <c r="BC17" s="22">
        <v>0.2</v>
      </c>
      <c r="BD17" s="22">
        <v>0</v>
      </c>
      <c r="BE17" s="22">
        <v>38</v>
      </c>
      <c r="BF17" s="50">
        <f>BE17*4+BD17*9+BC17*4</f>
        <v>152.80000000000001</v>
      </c>
      <c r="BG17" s="22"/>
      <c r="BH17" s="85"/>
      <c r="BI17" s="10"/>
      <c r="BJ17" s="28"/>
      <c r="BK17" s="18" t="s">
        <v>66</v>
      </c>
      <c r="BL17" s="18">
        <v>20</v>
      </c>
      <c r="BM17" s="22">
        <v>1.78</v>
      </c>
      <c r="BN17" s="22">
        <v>1.6</v>
      </c>
      <c r="BO17" s="22">
        <v>17.5</v>
      </c>
      <c r="BP17" s="22">
        <f>BO17*4+BN17*9+BM17*4</f>
        <v>91.52000000000001</v>
      </c>
      <c r="BQ17" s="22">
        <f>0.01*20/100</f>
        <v>2E-3</v>
      </c>
      <c r="BR17" s="85"/>
      <c r="BS17" s="24"/>
      <c r="BT17" s="18"/>
      <c r="BU17" s="18" t="s">
        <v>66</v>
      </c>
      <c r="BV17" s="18">
        <v>20</v>
      </c>
      <c r="BW17" s="22">
        <v>1.78</v>
      </c>
      <c r="BX17" s="22">
        <v>2.6</v>
      </c>
      <c r="BY17" s="22">
        <v>27.5</v>
      </c>
      <c r="BZ17" s="22">
        <f>BY17*4+BX17*9+BW17*4</f>
        <v>140.52000000000001</v>
      </c>
      <c r="CA17" s="22"/>
      <c r="CB17" s="85"/>
      <c r="CC17" s="24"/>
      <c r="CD17" s="18"/>
      <c r="CE17" s="18" t="s">
        <v>66</v>
      </c>
      <c r="CF17" s="18">
        <v>20</v>
      </c>
      <c r="CG17" s="22">
        <v>0.2</v>
      </c>
      <c r="CH17" s="22">
        <v>0</v>
      </c>
      <c r="CI17" s="22">
        <v>38</v>
      </c>
      <c r="CJ17" s="50">
        <f>CI17*4+CH17*9+CG17*4</f>
        <v>152.80000000000001</v>
      </c>
      <c r="CK17" s="22"/>
      <c r="CL17" s="85"/>
      <c r="CM17" s="44"/>
      <c r="CN17" s="18"/>
      <c r="CO17" s="18"/>
      <c r="CP17" s="18"/>
      <c r="CQ17" s="22"/>
      <c r="CR17" s="22"/>
      <c r="CS17" s="22"/>
      <c r="CT17" s="50"/>
      <c r="CU17" s="22"/>
    </row>
    <row r="18" spans="1:99" x14ac:dyDescent="0.3">
      <c r="J18" s="89"/>
      <c r="K18" s="44"/>
      <c r="M18" s="44"/>
      <c r="N18" s="44"/>
      <c r="O18" s="44"/>
      <c r="P18" s="44"/>
      <c r="Q18" s="45"/>
      <c r="R18" s="45"/>
      <c r="S18" s="44"/>
      <c r="T18" s="89"/>
      <c r="U18" s="24"/>
      <c r="W18" s="24"/>
      <c r="X18" s="24"/>
      <c r="Y18" s="24"/>
      <c r="Z18" s="24"/>
      <c r="AA18" s="33"/>
      <c r="AB18" s="33"/>
      <c r="AC18" s="24"/>
      <c r="AD18" s="89"/>
      <c r="AE18" s="24"/>
      <c r="AN18" s="89"/>
      <c r="AO18" s="24"/>
      <c r="AQ18" s="24"/>
      <c r="AR18" s="24"/>
      <c r="AS18" s="24"/>
      <c r="AT18" s="24"/>
      <c r="AU18" s="33"/>
      <c r="AV18" s="33"/>
      <c r="AW18" s="24"/>
      <c r="AX18" s="89"/>
      <c r="AY18" s="24"/>
      <c r="BA18" s="24"/>
      <c r="BB18" s="24"/>
      <c r="BC18" s="24"/>
      <c r="BD18" s="24"/>
      <c r="BE18" s="24"/>
      <c r="BF18" s="24"/>
      <c r="BG18" s="24"/>
      <c r="BH18" s="85"/>
      <c r="BI18" s="24"/>
      <c r="BR18" s="85"/>
      <c r="BS18" s="24"/>
      <c r="CB18" s="85"/>
      <c r="CC18" s="24"/>
      <c r="CL18" s="85"/>
      <c r="CM18" s="44"/>
      <c r="CO18" s="44"/>
      <c r="CP18" s="44"/>
      <c r="CQ18" s="44"/>
      <c r="CR18" s="44"/>
      <c r="CS18" s="45"/>
      <c r="CT18" s="45"/>
      <c r="CU18" s="44"/>
    </row>
    <row r="19" spans="1:99" x14ac:dyDescent="0.3">
      <c r="A19" s="40" t="s">
        <v>55</v>
      </c>
      <c r="B19" s="40"/>
      <c r="C19" s="40"/>
      <c r="D19" s="40"/>
      <c r="E19" s="40">
        <f>SUM(E16:E17)</f>
        <v>2.7800000000000002</v>
      </c>
      <c r="F19" s="40">
        <f>SUM(F16:F17)</f>
        <v>1.6</v>
      </c>
      <c r="G19" s="42">
        <f>SUM(G16:G17)</f>
        <v>32.049999999999997</v>
      </c>
      <c r="H19" s="42">
        <f>SUM(H16:H17)</f>
        <v>153.47</v>
      </c>
      <c r="I19" s="40">
        <f>SUM(I16:I17)</f>
        <v>170</v>
      </c>
      <c r="J19" s="89"/>
      <c r="K19" s="40" t="s">
        <v>55</v>
      </c>
      <c r="L19" s="40"/>
      <c r="M19" s="40"/>
      <c r="N19" s="40"/>
      <c r="O19" s="40">
        <f>SUM(O16:O17)</f>
        <v>5.22</v>
      </c>
      <c r="P19" s="40">
        <f>SUM(P16:P17)</f>
        <v>4.5</v>
      </c>
      <c r="Q19" s="42">
        <f>SUM(Q16:Q17)</f>
        <v>7.56</v>
      </c>
      <c r="R19" s="42">
        <f>SUM(R16:R17)</f>
        <v>91.61999999999999</v>
      </c>
      <c r="S19" s="40">
        <f>SUM(S16:S17)</f>
        <v>0.54</v>
      </c>
      <c r="T19" s="89"/>
      <c r="U19" s="40" t="s">
        <v>55</v>
      </c>
      <c r="V19" s="40"/>
      <c r="W19" s="40"/>
      <c r="X19" s="40"/>
      <c r="Y19" s="40">
        <f>SUM(Y16:Y17)</f>
        <v>7</v>
      </c>
      <c r="Z19" s="40">
        <f>SUM(Z16:Z17)</f>
        <v>7.1</v>
      </c>
      <c r="AA19" s="42">
        <f>SUM(AA16:AA17)</f>
        <v>119.12</v>
      </c>
      <c r="AB19" s="42">
        <f>SUM(AB16:AB17)</f>
        <v>71.740000000000009</v>
      </c>
      <c r="AC19" s="40">
        <f>SUM(AC16:AC17)</f>
        <v>8</v>
      </c>
      <c r="AD19" s="89"/>
      <c r="AE19" s="40" t="s">
        <v>55</v>
      </c>
      <c r="AF19" s="40"/>
      <c r="AG19" s="40"/>
      <c r="AH19" s="40"/>
      <c r="AI19" s="54">
        <f>SUM(AI16:AI17)</f>
        <v>0.1</v>
      </c>
      <c r="AJ19" s="40">
        <f>SUM(AJ16:AJ17)</f>
        <v>0</v>
      </c>
      <c r="AK19" s="42">
        <f>SUM(AK16:AK17)</f>
        <v>18</v>
      </c>
      <c r="AL19" s="42">
        <f>SUM(AL16:AL17)</f>
        <v>72.400000000000006</v>
      </c>
      <c r="AM19" s="40">
        <f>SUM(AM16:AM17)</f>
        <v>0</v>
      </c>
      <c r="AN19" s="89"/>
      <c r="AO19" s="40" t="s">
        <v>55</v>
      </c>
      <c r="AP19" s="40"/>
      <c r="AQ19" s="40"/>
      <c r="AR19" s="40"/>
      <c r="AS19" s="54">
        <f>SUM(AS16:AS18)</f>
        <v>1.8800000000000001</v>
      </c>
      <c r="AT19" s="40">
        <f>SUM(AT16:AT18)</f>
        <v>2.6</v>
      </c>
      <c r="AU19" s="42">
        <f>SUM(AU16:AU18)</f>
        <v>45.5</v>
      </c>
      <c r="AV19" s="42">
        <f>SUM(AV16:AV18)</f>
        <v>212.92000000000002</v>
      </c>
      <c r="AW19" s="40">
        <f>SUM(AW16:AW17)</f>
        <v>2E-3</v>
      </c>
      <c r="AX19" s="89"/>
      <c r="AY19" s="40" t="s">
        <v>55</v>
      </c>
      <c r="AZ19" s="40"/>
      <c r="BA19" s="40"/>
      <c r="BB19" s="40"/>
      <c r="BC19" s="54">
        <f>SUM(BC16:BC17)</f>
        <v>0.8</v>
      </c>
      <c r="BD19" s="40">
        <f>SUM(BD16:BD17)</f>
        <v>0.2</v>
      </c>
      <c r="BE19" s="42">
        <f>SUM(BE16:BE17)</f>
        <v>68.400000000000006</v>
      </c>
      <c r="BF19" s="42">
        <f>SUM(BF16:BF17)</f>
        <v>278.60000000000002</v>
      </c>
      <c r="BG19" s="40"/>
      <c r="BH19" s="85"/>
      <c r="BI19" s="40" t="s">
        <v>55</v>
      </c>
      <c r="BJ19" s="40"/>
      <c r="BK19" s="40"/>
      <c r="BL19" s="40"/>
      <c r="BM19" s="54">
        <f>SUM(BM16:BM17)</f>
        <v>1.8800000000000001</v>
      </c>
      <c r="BN19" s="40">
        <f>SUM(BN16:BN17)</f>
        <v>1.6</v>
      </c>
      <c r="BO19" s="42">
        <f>SUM(BO16:BO17)</f>
        <v>35.5</v>
      </c>
      <c r="BP19" s="42">
        <f>SUM(BP16:BP17)</f>
        <v>163.92000000000002</v>
      </c>
      <c r="BQ19" s="40">
        <f>SUM(BQ14:BQ17)</f>
        <v>2E-3</v>
      </c>
      <c r="BR19" s="85"/>
      <c r="BS19" s="40" t="s">
        <v>55</v>
      </c>
      <c r="BT19" s="40"/>
      <c r="BU19" s="40"/>
      <c r="BV19" s="40"/>
      <c r="BW19" s="40">
        <f>SUM(BW16:BW17)</f>
        <v>2.38</v>
      </c>
      <c r="BX19" s="40">
        <f>SUM(BX16:BX17)</f>
        <v>2.8000000000000003</v>
      </c>
      <c r="BY19" s="42">
        <f>SUM(BY16:BY17)</f>
        <v>57.9</v>
      </c>
      <c r="BZ19" s="42">
        <f>SUM(BZ16:BZ17)</f>
        <v>266.32</v>
      </c>
      <c r="CA19" s="40">
        <f>SUM(CA16:CA17)</f>
        <v>8</v>
      </c>
      <c r="CB19" s="85"/>
      <c r="CC19" s="40" t="s">
        <v>55</v>
      </c>
      <c r="CD19" s="40"/>
      <c r="CE19" s="40"/>
      <c r="CF19" s="40"/>
      <c r="CG19" s="40">
        <f>SUM(CG16:CG17)</f>
        <v>0.8</v>
      </c>
      <c r="CH19" s="40">
        <f>SUM(CH16:CH17)</f>
        <v>0.2</v>
      </c>
      <c r="CI19" s="42">
        <f>SUM(CI16:CI17)</f>
        <v>68.400000000000006</v>
      </c>
      <c r="CJ19" s="42">
        <f>SUM(CJ16:CJ17)</f>
        <v>278.60000000000002</v>
      </c>
      <c r="CK19" s="40">
        <f>SUM(CK16:CK17)</f>
        <v>8</v>
      </c>
      <c r="CL19" s="85"/>
      <c r="CM19" s="40" t="s">
        <v>55</v>
      </c>
      <c r="CN19" s="40"/>
      <c r="CO19" s="40"/>
      <c r="CP19" s="40"/>
      <c r="CQ19" s="54">
        <f>SUM(CQ16:CQ17)</f>
        <v>0.6</v>
      </c>
      <c r="CR19" s="54">
        <f>SUM(CR16:CR17)</f>
        <v>0.2</v>
      </c>
      <c r="CS19" s="54">
        <f>SUM(CS16:CS17)</f>
        <v>30.4</v>
      </c>
      <c r="CT19" s="54">
        <f>SUM(CT16:CT17)</f>
        <v>125.8</v>
      </c>
      <c r="CU19" s="54">
        <f>SUM(CU16:CU17)</f>
        <v>8</v>
      </c>
    </row>
    <row r="20" spans="1:99" x14ac:dyDescent="0.3">
      <c r="A20" s="40" t="s">
        <v>56</v>
      </c>
      <c r="B20" s="40"/>
      <c r="C20" s="40"/>
      <c r="D20" s="40"/>
      <c r="E20" s="42">
        <v>2.7</v>
      </c>
      <c r="F20" s="42">
        <v>3</v>
      </c>
      <c r="G20" s="42">
        <v>13.05</v>
      </c>
      <c r="H20" s="42">
        <v>90</v>
      </c>
      <c r="I20" s="40"/>
      <c r="J20" s="89"/>
      <c r="K20" s="40" t="s">
        <v>56</v>
      </c>
      <c r="L20" s="40"/>
      <c r="M20" s="40"/>
      <c r="N20" s="40"/>
      <c r="O20" s="42">
        <v>2.7</v>
      </c>
      <c r="P20" s="42">
        <v>3</v>
      </c>
      <c r="Q20" s="42">
        <v>13.05</v>
      </c>
      <c r="R20" s="42">
        <v>90</v>
      </c>
      <c r="S20" s="40"/>
      <c r="T20" s="89"/>
      <c r="U20" s="40" t="s">
        <v>56</v>
      </c>
      <c r="V20" s="40"/>
      <c r="W20" s="40"/>
      <c r="X20" s="40"/>
      <c r="Y20" s="42">
        <v>2.7</v>
      </c>
      <c r="Z20" s="42">
        <v>3</v>
      </c>
      <c r="AA20" s="42">
        <v>13.05</v>
      </c>
      <c r="AB20" s="42">
        <v>90</v>
      </c>
      <c r="AC20" s="40"/>
      <c r="AD20" s="89"/>
      <c r="AE20" s="40" t="s">
        <v>56</v>
      </c>
      <c r="AF20" s="40"/>
      <c r="AG20" s="40"/>
      <c r="AH20" s="40"/>
      <c r="AI20" s="42">
        <v>2.7</v>
      </c>
      <c r="AJ20" s="42">
        <v>3</v>
      </c>
      <c r="AK20" s="42">
        <v>13.05</v>
      </c>
      <c r="AL20" s="42">
        <v>90</v>
      </c>
      <c r="AM20" s="40"/>
      <c r="AN20" s="89"/>
      <c r="AO20" s="40" t="s">
        <v>56</v>
      </c>
      <c r="AP20" s="40"/>
      <c r="AQ20" s="40"/>
      <c r="AR20" s="40"/>
      <c r="AS20" s="42">
        <v>2.7</v>
      </c>
      <c r="AT20" s="42">
        <v>3</v>
      </c>
      <c r="AU20" s="42">
        <v>13.05</v>
      </c>
      <c r="AV20" s="42">
        <v>90</v>
      </c>
      <c r="AW20" s="40"/>
      <c r="AX20" s="89"/>
      <c r="AY20" s="40" t="s">
        <v>56</v>
      </c>
      <c r="AZ20" s="40"/>
      <c r="BA20" s="40"/>
      <c r="BB20" s="40"/>
      <c r="BC20" s="42">
        <v>2.7</v>
      </c>
      <c r="BD20" s="42">
        <v>3</v>
      </c>
      <c r="BE20" s="42">
        <v>13.05</v>
      </c>
      <c r="BF20" s="42">
        <v>90</v>
      </c>
      <c r="BG20" s="40"/>
      <c r="BH20" s="85"/>
      <c r="BI20" s="40" t="s">
        <v>56</v>
      </c>
      <c r="BJ20" s="40"/>
      <c r="BK20" s="40"/>
      <c r="BL20" s="40"/>
      <c r="BM20" s="42">
        <v>2.7</v>
      </c>
      <c r="BN20" s="42">
        <v>3</v>
      </c>
      <c r="BO20" s="42">
        <v>13.05</v>
      </c>
      <c r="BP20" s="42">
        <v>90</v>
      </c>
      <c r="BQ20" s="40"/>
      <c r="BR20" s="85"/>
      <c r="BS20" s="40" t="s">
        <v>56</v>
      </c>
      <c r="BT20" s="40"/>
      <c r="BU20" s="40"/>
      <c r="BV20" s="40"/>
      <c r="BW20" s="42">
        <v>2.7</v>
      </c>
      <c r="BX20" s="42">
        <v>3</v>
      </c>
      <c r="BY20" s="42">
        <v>13.05</v>
      </c>
      <c r="BZ20" s="42">
        <v>90</v>
      </c>
      <c r="CA20" s="40"/>
      <c r="CB20" s="85"/>
      <c r="CC20" s="40" t="s">
        <v>56</v>
      </c>
      <c r="CD20" s="40"/>
      <c r="CE20" s="40"/>
      <c r="CF20" s="40"/>
      <c r="CG20" s="42">
        <v>2.7</v>
      </c>
      <c r="CH20" s="42">
        <v>3</v>
      </c>
      <c r="CI20" s="42">
        <v>13.05</v>
      </c>
      <c r="CJ20" s="42">
        <v>90</v>
      </c>
      <c r="CK20" s="40"/>
      <c r="CL20" s="85"/>
      <c r="CM20" s="40" t="s">
        <v>56</v>
      </c>
      <c r="CN20" s="40"/>
      <c r="CO20" s="40"/>
      <c r="CP20" s="40"/>
      <c r="CQ20" s="54">
        <v>2.7</v>
      </c>
      <c r="CR20" s="54">
        <v>3</v>
      </c>
      <c r="CS20" s="54">
        <v>13.05</v>
      </c>
      <c r="CT20" s="54">
        <v>90</v>
      </c>
      <c r="CU20" s="54"/>
    </row>
    <row r="21" spans="1:99" x14ac:dyDescent="0.3">
      <c r="A21" s="11"/>
      <c r="B21" s="10"/>
      <c r="C21" s="11"/>
      <c r="D21" s="11"/>
      <c r="E21" s="11"/>
      <c r="F21" s="11"/>
      <c r="G21" s="52"/>
      <c r="H21" s="52"/>
      <c r="J21" s="89"/>
      <c r="K21" s="55"/>
      <c r="L21" s="10"/>
      <c r="M21" s="55"/>
      <c r="N21" s="55"/>
      <c r="O21" s="55"/>
      <c r="P21" s="55"/>
      <c r="Q21" s="56"/>
      <c r="R21" s="56"/>
      <c r="S21" s="44"/>
      <c r="T21" s="89"/>
      <c r="U21" s="10"/>
      <c r="V21" s="10"/>
      <c r="W21" s="10"/>
      <c r="X21" s="10"/>
      <c r="Y21" s="10"/>
      <c r="Z21" s="10"/>
      <c r="AA21" s="57"/>
      <c r="AB21" s="57"/>
      <c r="AC21" s="24"/>
      <c r="AD21" s="89"/>
      <c r="AE21" s="10"/>
      <c r="AF21" s="10"/>
      <c r="AG21" s="10"/>
      <c r="AH21" s="10"/>
      <c r="AI21" s="10"/>
      <c r="AJ21" s="10"/>
      <c r="AK21" s="57"/>
      <c r="AL21" s="57"/>
      <c r="AM21" s="24"/>
      <c r="AN21" s="89"/>
      <c r="AO21" s="10"/>
      <c r="AP21" s="10"/>
      <c r="AQ21" s="10"/>
      <c r="AR21" s="10"/>
      <c r="AS21" s="10"/>
      <c r="AT21" s="10"/>
      <c r="AU21" s="57"/>
      <c r="AV21" s="57"/>
      <c r="AW21" s="24"/>
      <c r="AX21" s="89"/>
      <c r="AY21" s="10"/>
      <c r="AZ21" s="10"/>
      <c r="BA21" s="10"/>
      <c r="BB21" s="10"/>
      <c r="BC21" s="10"/>
      <c r="BD21" s="10"/>
      <c r="BE21" s="57"/>
      <c r="BF21" s="57"/>
      <c r="BG21" s="24"/>
      <c r="BH21" s="85"/>
      <c r="BI21" s="10"/>
      <c r="BJ21" s="10"/>
      <c r="BK21" s="10"/>
      <c r="BL21" s="10"/>
      <c r="BM21" s="10"/>
      <c r="BN21" s="10"/>
      <c r="BO21" s="57"/>
      <c r="BP21" s="57"/>
      <c r="BQ21" s="24"/>
      <c r="BR21" s="85"/>
      <c r="BS21" s="10"/>
      <c r="BT21" s="10"/>
      <c r="BU21" s="10"/>
      <c r="BV21" s="10"/>
      <c r="BW21" s="10"/>
      <c r="BX21" s="10"/>
      <c r="BY21" s="57"/>
      <c r="BZ21" s="57"/>
      <c r="CA21" s="24"/>
      <c r="CB21" s="85"/>
      <c r="CC21" s="10"/>
      <c r="CD21" s="10"/>
      <c r="CE21" s="10"/>
      <c r="CF21" s="10"/>
      <c r="CG21" s="10"/>
      <c r="CH21" s="10"/>
      <c r="CI21" s="57"/>
      <c r="CJ21" s="57"/>
      <c r="CK21" s="24"/>
      <c r="CL21" s="85"/>
      <c r="CM21" s="55"/>
      <c r="CN21" s="10"/>
      <c r="CO21" s="55"/>
      <c r="CP21" s="55"/>
      <c r="CQ21" s="55"/>
      <c r="CR21" s="55"/>
      <c r="CS21" s="56"/>
      <c r="CT21" s="56"/>
      <c r="CU21" s="44"/>
    </row>
    <row r="22" spans="1:99" x14ac:dyDescent="0.3">
      <c r="A22" s="72" t="s">
        <v>67</v>
      </c>
      <c r="B22" s="73"/>
      <c r="C22" s="73"/>
      <c r="D22" s="73"/>
      <c r="E22" s="73"/>
      <c r="F22" s="73"/>
      <c r="G22" s="73"/>
      <c r="H22" s="73"/>
      <c r="I22" s="74"/>
      <c r="J22" s="89"/>
      <c r="K22" s="69" t="s">
        <v>67</v>
      </c>
      <c r="L22" s="70"/>
      <c r="M22" s="70"/>
      <c r="N22" s="70"/>
      <c r="O22" s="70"/>
      <c r="P22" s="70"/>
      <c r="Q22" s="70"/>
      <c r="R22" s="70"/>
      <c r="S22" s="71"/>
      <c r="T22" s="89"/>
      <c r="U22" s="69" t="s">
        <v>67</v>
      </c>
      <c r="V22" s="70"/>
      <c r="W22" s="70"/>
      <c r="X22" s="70"/>
      <c r="Y22" s="70"/>
      <c r="Z22" s="70"/>
      <c r="AA22" s="70"/>
      <c r="AB22" s="70"/>
      <c r="AC22" s="71"/>
      <c r="AD22" s="89"/>
      <c r="AE22" s="58" t="s">
        <v>67</v>
      </c>
      <c r="AF22" s="47"/>
      <c r="AG22" s="47"/>
      <c r="AH22" s="47"/>
      <c r="AI22" s="47"/>
      <c r="AJ22" s="47"/>
      <c r="AK22" s="47"/>
      <c r="AL22" s="47"/>
      <c r="AM22" s="59"/>
      <c r="AN22" s="89"/>
      <c r="AO22" s="69" t="s">
        <v>67</v>
      </c>
      <c r="AP22" s="70"/>
      <c r="AQ22" s="70"/>
      <c r="AR22" s="70"/>
      <c r="AS22" s="70"/>
      <c r="AT22" s="70"/>
      <c r="AU22" s="70"/>
      <c r="AV22" s="70"/>
      <c r="AW22" s="71"/>
      <c r="AX22" s="89"/>
      <c r="AY22" s="69" t="s">
        <v>67</v>
      </c>
      <c r="AZ22" s="70"/>
      <c r="BA22" s="70"/>
      <c r="BB22" s="70"/>
      <c r="BC22" s="70"/>
      <c r="BD22" s="70"/>
      <c r="BE22" s="70"/>
      <c r="BF22" s="70"/>
      <c r="BG22" s="71"/>
      <c r="BH22" s="85"/>
      <c r="BI22" s="69" t="s">
        <v>67</v>
      </c>
      <c r="BJ22" s="70"/>
      <c r="BK22" s="70"/>
      <c r="BL22" s="70"/>
      <c r="BM22" s="70"/>
      <c r="BN22" s="70"/>
      <c r="BO22" s="70"/>
      <c r="BP22" s="70"/>
      <c r="BQ22" s="71"/>
      <c r="BR22" s="85"/>
      <c r="BS22" s="69" t="s">
        <v>67</v>
      </c>
      <c r="BT22" s="70"/>
      <c r="BU22" s="70"/>
      <c r="BV22" s="70"/>
      <c r="BW22" s="70"/>
      <c r="BX22" s="70"/>
      <c r="BY22" s="70"/>
      <c r="BZ22" s="70"/>
      <c r="CA22" s="71"/>
      <c r="CB22" s="85"/>
      <c r="CC22" s="69" t="s">
        <v>67</v>
      </c>
      <c r="CD22" s="70"/>
      <c r="CE22" s="70"/>
      <c r="CF22" s="70"/>
      <c r="CG22" s="70"/>
      <c r="CH22" s="70"/>
      <c r="CI22" s="70"/>
      <c r="CJ22" s="70"/>
      <c r="CK22" s="71"/>
      <c r="CL22" s="85"/>
      <c r="CM22" s="69" t="s">
        <v>67</v>
      </c>
      <c r="CN22" s="70"/>
      <c r="CO22" s="70"/>
      <c r="CP22" s="70"/>
      <c r="CQ22" s="70"/>
      <c r="CR22" s="70"/>
      <c r="CS22" s="70"/>
      <c r="CT22" s="70"/>
      <c r="CU22" s="71"/>
    </row>
    <row r="23" spans="1:99" x14ac:dyDescent="0.3">
      <c r="B23" s="18"/>
      <c r="C23" s="18" t="s">
        <v>68</v>
      </c>
      <c r="D23" s="18">
        <v>60</v>
      </c>
      <c r="E23" s="14">
        <v>0.5</v>
      </c>
      <c r="F23" s="14">
        <v>2.33</v>
      </c>
      <c r="G23" s="14">
        <v>5.15</v>
      </c>
      <c r="H23" s="14">
        <f t="shared" ref="H23:H28" si="21">G23*4+F23*9+E23*4</f>
        <v>43.57</v>
      </c>
      <c r="I23" s="14"/>
      <c r="J23" s="89"/>
      <c r="K23" s="24"/>
      <c r="L23" s="18">
        <v>35</v>
      </c>
      <c r="M23" s="18" t="s">
        <v>69</v>
      </c>
      <c r="N23" s="18">
        <v>60</v>
      </c>
      <c r="O23" s="14">
        <v>0.66500000000000004</v>
      </c>
      <c r="P23" s="14">
        <v>3.0996000000000001</v>
      </c>
      <c r="Q23" s="14">
        <v>6.8620000000000001</v>
      </c>
      <c r="R23" s="14">
        <f>Q23*4+P23*9+O23*4</f>
        <v>58.004400000000004</v>
      </c>
      <c r="S23" s="14">
        <v>5.58</v>
      </c>
      <c r="T23" s="89"/>
      <c r="U23" s="24"/>
      <c r="V23" s="24">
        <v>36</v>
      </c>
      <c r="W23" s="18" t="s">
        <v>70</v>
      </c>
      <c r="X23" s="18">
        <v>60</v>
      </c>
      <c r="Y23" s="14">
        <v>0.67</v>
      </c>
      <c r="Z23" s="14">
        <v>3.1</v>
      </c>
      <c r="AA23" s="14">
        <v>6.86</v>
      </c>
      <c r="AB23" s="14">
        <f t="shared" ref="AB23:AB28" si="22">AA23*4+Z23*9+Y23*4</f>
        <v>58.02</v>
      </c>
      <c r="AC23" s="14">
        <v>5.58</v>
      </c>
      <c r="AD23" s="89"/>
      <c r="AE23" s="24"/>
      <c r="AF23" s="18"/>
      <c r="AG23" s="19" t="s">
        <v>71</v>
      </c>
      <c r="AH23" s="19">
        <v>60</v>
      </c>
      <c r="AI23" s="14">
        <v>0.5</v>
      </c>
      <c r="AJ23" s="14">
        <v>2.33</v>
      </c>
      <c r="AK23" s="14">
        <v>5.15</v>
      </c>
      <c r="AL23" s="14">
        <f>AK23*4+AJ23*9+AI23*4</f>
        <v>43.57</v>
      </c>
      <c r="AM23" s="14">
        <v>0.2</v>
      </c>
      <c r="AN23" s="89"/>
      <c r="AO23" s="24"/>
      <c r="AP23" s="18">
        <v>12</v>
      </c>
      <c r="AQ23" s="18" t="s">
        <v>72</v>
      </c>
      <c r="AR23" s="16">
        <v>60</v>
      </c>
      <c r="AS23" s="14">
        <v>1.73</v>
      </c>
      <c r="AT23" s="14">
        <v>3.7</v>
      </c>
      <c r="AU23" s="14">
        <v>4.82</v>
      </c>
      <c r="AV23" s="14">
        <f>AU23*4+AT23*9+AS23*4</f>
        <v>59.500000000000007</v>
      </c>
      <c r="AW23" s="14">
        <v>5.58</v>
      </c>
      <c r="AX23" s="89"/>
      <c r="AY23" s="24"/>
      <c r="AZ23" s="18" t="s">
        <v>73</v>
      </c>
      <c r="BA23" s="18" t="s">
        <v>74</v>
      </c>
      <c r="BB23" s="18">
        <v>50</v>
      </c>
      <c r="BC23" s="14">
        <v>0.67</v>
      </c>
      <c r="BD23" s="14">
        <v>3.8</v>
      </c>
      <c r="BE23" s="14">
        <v>3.84</v>
      </c>
      <c r="BF23" s="14">
        <f t="shared" ref="BF23:BF29" si="23">BE23*4+BD23*9+BC23*4</f>
        <v>52.239999999999995</v>
      </c>
      <c r="BG23" s="14">
        <v>6.62</v>
      </c>
      <c r="BH23" s="85"/>
      <c r="BI23" s="24"/>
      <c r="BJ23" s="18">
        <v>45</v>
      </c>
      <c r="BK23" s="18" t="s">
        <v>75</v>
      </c>
      <c r="BL23" s="18">
        <v>60</v>
      </c>
      <c r="BM23" s="14">
        <v>0.5</v>
      </c>
      <c r="BN23" s="14">
        <v>2.33</v>
      </c>
      <c r="BO23" s="14">
        <v>5.15</v>
      </c>
      <c r="BP23" s="14">
        <f>BO23*4+BN23*9+BM23*4</f>
        <v>43.57</v>
      </c>
      <c r="BQ23" s="14">
        <v>1.58</v>
      </c>
      <c r="BR23" s="85"/>
      <c r="BS23" s="24"/>
      <c r="BT23" s="18">
        <v>45</v>
      </c>
      <c r="BU23" s="18" t="s">
        <v>75</v>
      </c>
      <c r="BV23" s="18">
        <v>60</v>
      </c>
      <c r="BW23" s="14">
        <v>0.5</v>
      </c>
      <c r="BX23" s="14">
        <v>2.33</v>
      </c>
      <c r="BY23" s="14">
        <v>5.15</v>
      </c>
      <c r="BZ23" s="14">
        <f>BY23*4+BX23*9+BW23*4</f>
        <v>43.57</v>
      </c>
      <c r="CA23" s="14">
        <v>6.18</v>
      </c>
      <c r="CB23" s="85"/>
      <c r="CC23" s="24"/>
      <c r="CD23" s="18"/>
      <c r="CE23" s="19" t="s">
        <v>76</v>
      </c>
      <c r="CF23" s="19">
        <v>60</v>
      </c>
      <c r="CG23" s="14">
        <v>0.5</v>
      </c>
      <c r="CH23" s="14">
        <v>2.33</v>
      </c>
      <c r="CI23" s="14">
        <v>5.15</v>
      </c>
      <c r="CJ23" s="14">
        <f>CI23*4+CH23*9+CG23*4</f>
        <v>43.57</v>
      </c>
      <c r="CK23" s="21"/>
      <c r="CL23" s="85"/>
      <c r="CM23" s="24"/>
      <c r="CN23" s="18">
        <v>34</v>
      </c>
      <c r="CO23" s="19" t="s">
        <v>77</v>
      </c>
      <c r="CP23" s="19">
        <v>60</v>
      </c>
      <c r="CQ23" s="21">
        <f>16.67*60/1000</f>
        <v>1.0002</v>
      </c>
      <c r="CR23" s="21">
        <f>41.78*60/1000</f>
        <v>2.5068000000000001</v>
      </c>
      <c r="CS23" s="21">
        <f>81.99*60/1000</f>
        <v>4.9193999999999996</v>
      </c>
      <c r="CT23" s="14">
        <f>CS23*4+CR23*9+CQ23*4</f>
        <v>46.239599999999996</v>
      </c>
      <c r="CU23" s="21">
        <f>98*60/1000</f>
        <v>5.88</v>
      </c>
    </row>
    <row r="24" spans="1:99" x14ac:dyDescent="0.3">
      <c r="B24" s="18">
        <v>82</v>
      </c>
      <c r="C24" s="18" t="s">
        <v>78</v>
      </c>
      <c r="D24" s="18">
        <v>200</v>
      </c>
      <c r="E24" s="14">
        <v>2.2799999999999998</v>
      </c>
      <c r="F24" s="14">
        <v>2.46</v>
      </c>
      <c r="G24" s="14">
        <v>13.46</v>
      </c>
      <c r="H24" s="14">
        <f t="shared" si="21"/>
        <v>85.100000000000009</v>
      </c>
      <c r="I24" s="14">
        <v>6.6</v>
      </c>
      <c r="J24" s="89"/>
      <c r="K24" s="24"/>
      <c r="L24" s="18">
        <v>76</v>
      </c>
      <c r="M24" s="18" t="s">
        <v>79</v>
      </c>
      <c r="N24" s="18">
        <v>200</v>
      </c>
      <c r="O24" s="14">
        <v>1.68</v>
      </c>
      <c r="P24" s="14">
        <v>4.09</v>
      </c>
      <c r="Q24" s="14">
        <v>13.27</v>
      </c>
      <c r="R24" s="14">
        <f t="shared" ref="R24:R29" si="24">Q24*4+P24*9+O24*4</f>
        <v>96.61</v>
      </c>
      <c r="S24" s="14">
        <v>6.03</v>
      </c>
      <c r="T24" s="89"/>
      <c r="U24" s="24"/>
      <c r="V24" s="18">
        <v>71</v>
      </c>
      <c r="W24" s="18" t="s">
        <v>80</v>
      </c>
      <c r="X24" s="18">
        <v>20</v>
      </c>
      <c r="Y24" s="14">
        <v>1.29</v>
      </c>
      <c r="Z24" s="14">
        <v>3.8</v>
      </c>
      <c r="AA24" s="14">
        <v>5.3</v>
      </c>
      <c r="AB24" s="14">
        <f t="shared" si="22"/>
        <v>60.559999999999988</v>
      </c>
      <c r="AC24" s="14">
        <v>13.29</v>
      </c>
      <c r="AD24" s="89"/>
      <c r="AE24" s="24"/>
      <c r="AF24" s="18" t="s">
        <v>81</v>
      </c>
      <c r="AG24" s="18" t="s">
        <v>82</v>
      </c>
      <c r="AH24" s="18">
        <v>200</v>
      </c>
      <c r="AI24" s="14">
        <v>3.8</v>
      </c>
      <c r="AJ24" s="14">
        <v>4.8</v>
      </c>
      <c r="AK24" s="14">
        <v>18.8</v>
      </c>
      <c r="AL24" s="14">
        <f>AK24*4+AJ24*9+AI24*4</f>
        <v>133.6</v>
      </c>
      <c r="AM24" s="22"/>
      <c r="AN24" s="89"/>
      <c r="AO24" s="24"/>
      <c r="AP24" s="18">
        <v>57</v>
      </c>
      <c r="AQ24" s="18" t="s">
        <v>83</v>
      </c>
      <c r="AR24" s="53">
        <v>200</v>
      </c>
      <c r="AS24" s="14">
        <v>1.38</v>
      </c>
      <c r="AT24" s="14">
        <v>3.92</v>
      </c>
      <c r="AU24" s="14">
        <v>9.76</v>
      </c>
      <c r="AV24" s="14">
        <f t="shared" ref="AV24:AV28" si="25">AU24*4+AT24*9+AS24*4</f>
        <v>79.839999999999989</v>
      </c>
      <c r="AW24" s="14">
        <v>6.43</v>
      </c>
      <c r="AX24" s="89"/>
      <c r="AY24" s="24"/>
      <c r="AZ24" s="18">
        <v>81</v>
      </c>
      <c r="BA24" s="18" t="s">
        <v>84</v>
      </c>
      <c r="BB24" s="18">
        <v>200</v>
      </c>
      <c r="BC24" s="14">
        <v>4.3899999999999997</v>
      </c>
      <c r="BD24" s="14">
        <v>4.22</v>
      </c>
      <c r="BE24" s="14">
        <v>13.055999999999999</v>
      </c>
      <c r="BF24" s="14">
        <f t="shared" si="23"/>
        <v>107.764</v>
      </c>
      <c r="BG24" s="14">
        <v>4.6500000000000004</v>
      </c>
      <c r="BH24" s="85"/>
      <c r="BI24" s="24"/>
      <c r="BJ24" s="16">
        <v>84</v>
      </c>
      <c r="BK24" s="18" t="s">
        <v>85</v>
      </c>
      <c r="BL24" s="16">
        <v>200</v>
      </c>
      <c r="BM24" s="14">
        <v>5</v>
      </c>
      <c r="BN24" s="14">
        <v>2.9</v>
      </c>
      <c r="BO24" s="14">
        <v>10.7</v>
      </c>
      <c r="BP24" s="14">
        <f t="shared" ref="BP24:BP29" si="26">BO24*4+BN24*9+BM24*4</f>
        <v>88.899999999999991</v>
      </c>
      <c r="BQ24" s="14">
        <v>9.84</v>
      </c>
      <c r="BR24" s="85"/>
      <c r="BS24" s="24"/>
      <c r="BT24" s="18">
        <v>80</v>
      </c>
      <c r="BU24" s="18" t="s">
        <v>86</v>
      </c>
      <c r="BV24" s="18">
        <v>200</v>
      </c>
      <c r="BW24" s="14">
        <v>2.08</v>
      </c>
      <c r="BX24" s="14">
        <v>2.23</v>
      </c>
      <c r="BY24" s="14">
        <v>13.6</v>
      </c>
      <c r="BZ24" s="14">
        <f t="shared" ref="BZ24:BZ27" si="27">BY24*4+BX24*9+BW24*4</f>
        <v>82.789999999999992</v>
      </c>
      <c r="CA24" s="14">
        <v>6.6</v>
      </c>
      <c r="CB24" s="85"/>
      <c r="CC24" s="24"/>
      <c r="CD24" s="18">
        <v>57</v>
      </c>
      <c r="CE24" s="18" t="s">
        <v>87</v>
      </c>
      <c r="CF24" s="18">
        <v>200</v>
      </c>
      <c r="CG24" s="14">
        <v>1.38</v>
      </c>
      <c r="CH24" s="14">
        <v>3.92</v>
      </c>
      <c r="CI24" s="14">
        <v>9.76</v>
      </c>
      <c r="CJ24" s="14">
        <f t="shared" ref="CJ24:CJ29" si="28">CI24*4+CH24*9+CG24*4</f>
        <v>79.839999999999989</v>
      </c>
      <c r="CK24" s="14">
        <v>6.43</v>
      </c>
      <c r="CL24" s="85"/>
      <c r="CM24" s="24"/>
      <c r="CN24" s="18">
        <v>85</v>
      </c>
      <c r="CO24" s="18" t="s">
        <v>88</v>
      </c>
      <c r="CP24" s="18">
        <v>180</v>
      </c>
      <c r="CQ24" s="14">
        <v>1.48</v>
      </c>
      <c r="CR24" s="14">
        <v>2.23</v>
      </c>
      <c r="CS24" s="14">
        <v>9.06</v>
      </c>
      <c r="CT24" s="14">
        <f t="shared" ref="CT24:CT28" si="29">CS24*4+CR24*9+CQ24*4</f>
        <v>62.230000000000004</v>
      </c>
      <c r="CU24" s="14">
        <v>4.1399999999999997</v>
      </c>
    </row>
    <row r="25" spans="1:99" x14ac:dyDescent="0.3">
      <c r="B25" s="18">
        <v>274</v>
      </c>
      <c r="C25" s="18" t="s">
        <v>89</v>
      </c>
      <c r="D25" s="18">
        <v>180</v>
      </c>
      <c r="E25" s="21">
        <v>21.71</v>
      </c>
      <c r="F25" s="21">
        <v>16.55</v>
      </c>
      <c r="G25" s="21">
        <v>15.02</v>
      </c>
      <c r="H25" s="14">
        <f t="shared" si="21"/>
        <v>295.87</v>
      </c>
      <c r="I25" s="21">
        <v>5.2</v>
      </c>
      <c r="J25" s="89"/>
      <c r="K25" s="24"/>
      <c r="L25" s="18">
        <v>300</v>
      </c>
      <c r="M25" s="18" t="s">
        <v>90</v>
      </c>
      <c r="N25" s="18">
        <v>90</v>
      </c>
      <c r="O25" s="14">
        <v>18.989999999999998</v>
      </c>
      <c r="P25" s="14">
        <v>12.24</v>
      </c>
      <c r="Q25" s="14"/>
      <c r="R25" s="14">
        <f t="shared" si="24"/>
        <v>186.12</v>
      </c>
      <c r="S25" s="14"/>
      <c r="T25" s="89"/>
      <c r="U25" s="24"/>
      <c r="V25" s="18"/>
      <c r="W25" s="18" t="s">
        <v>91</v>
      </c>
      <c r="X25" s="18">
        <v>120</v>
      </c>
      <c r="Y25" s="22">
        <v>17.989999999999998</v>
      </c>
      <c r="Z25" s="22">
        <v>14.48</v>
      </c>
      <c r="AA25" s="22">
        <v>4.62</v>
      </c>
      <c r="AB25" s="14">
        <f t="shared" si="22"/>
        <v>220.76</v>
      </c>
      <c r="AC25" s="22">
        <v>0.7</v>
      </c>
      <c r="AD25" s="89"/>
      <c r="AE25" s="24"/>
      <c r="AF25" s="18">
        <v>279</v>
      </c>
      <c r="AG25" s="18" t="s">
        <v>92</v>
      </c>
      <c r="AH25" s="18">
        <v>80</v>
      </c>
      <c r="AI25" s="14">
        <f>15.56*80/100</f>
        <v>12.448</v>
      </c>
      <c r="AJ25" s="14">
        <v>11.39</v>
      </c>
      <c r="AK25" s="14">
        <v>16.7</v>
      </c>
      <c r="AL25" s="14">
        <f t="shared" ref="AL25:AL26" si="30">AK25*4+AJ25*9+AI25*4</f>
        <v>219.102</v>
      </c>
      <c r="AM25" s="14"/>
      <c r="AN25" s="89"/>
      <c r="AO25" s="24"/>
      <c r="AP25" s="18"/>
      <c r="AQ25" s="18" t="s">
        <v>93</v>
      </c>
      <c r="AR25" s="53">
        <v>80</v>
      </c>
      <c r="AS25" s="14">
        <v>12.44</v>
      </c>
      <c r="AT25" s="14">
        <v>9.24</v>
      </c>
      <c r="AU25" s="14">
        <v>12.56</v>
      </c>
      <c r="AV25" s="14">
        <f t="shared" si="25"/>
        <v>183.16</v>
      </c>
      <c r="AW25" s="14">
        <v>0.12</v>
      </c>
      <c r="AX25" s="89"/>
      <c r="AY25" s="24"/>
      <c r="AZ25" s="18"/>
      <c r="BA25" s="18" t="s">
        <v>94</v>
      </c>
      <c r="BB25" s="18">
        <v>80</v>
      </c>
      <c r="BC25" s="22">
        <v>13.23</v>
      </c>
      <c r="BD25" s="22">
        <v>6.65</v>
      </c>
      <c r="BE25" s="22">
        <v>6.88</v>
      </c>
      <c r="BF25" s="14">
        <f t="shared" si="23"/>
        <v>140.29000000000002</v>
      </c>
      <c r="BG25" s="22"/>
      <c r="BH25" s="85"/>
      <c r="BI25" s="24"/>
      <c r="BJ25" s="18"/>
      <c r="BK25" s="18" t="s">
        <v>95</v>
      </c>
      <c r="BL25" s="18">
        <v>80</v>
      </c>
      <c r="BM25" s="14">
        <v>11.46</v>
      </c>
      <c r="BN25" s="14">
        <v>4.3899999999999997</v>
      </c>
      <c r="BO25" s="14">
        <v>0.13</v>
      </c>
      <c r="BP25" s="14">
        <f t="shared" si="26"/>
        <v>85.87</v>
      </c>
      <c r="BQ25" s="14"/>
      <c r="BR25" s="85"/>
      <c r="BS25" s="24"/>
      <c r="BT25" s="18"/>
      <c r="BU25" s="18" t="s">
        <v>96</v>
      </c>
      <c r="BV25" s="18">
        <v>80</v>
      </c>
      <c r="BW25" s="14">
        <v>10.95</v>
      </c>
      <c r="BX25" s="14">
        <v>3.7</v>
      </c>
      <c r="BY25" s="14">
        <v>8.69</v>
      </c>
      <c r="BZ25" s="14">
        <f t="shared" si="27"/>
        <v>111.86</v>
      </c>
      <c r="CA25" s="14">
        <v>3.02</v>
      </c>
      <c r="CB25" s="85"/>
      <c r="CC25" s="24"/>
      <c r="CD25" s="18"/>
      <c r="CE25" s="18" t="s">
        <v>97</v>
      </c>
      <c r="CF25" s="18">
        <v>80</v>
      </c>
      <c r="CG25" s="14">
        <f>8.45*80/60</f>
        <v>11.266666666666667</v>
      </c>
      <c r="CH25" s="14">
        <f>8.88*80/60</f>
        <v>11.840000000000002</v>
      </c>
      <c r="CI25" s="14">
        <f>5.3*80/60</f>
        <v>7.0666666666666664</v>
      </c>
      <c r="CJ25" s="14">
        <f t="shared" si="28"/>
        <v>179.89333333333335</v>
      </c>
      <c r="CK25" s="14">
        <f>0.24*80/60</f>
        <v>0.32</v>
      </c>
      <c r="CL25" s="85"/>
      <c r="CM25" s="24"/>
      <c r="CN25" s="18"/>
      <c r="CO25" s="18" t="s">
        <v>98</v>
      </c>
      <c r="CP25" s="18">
        <v>160</v>
      </c>
      <c r="CQ25" s="14">
        <v>14.12</v>
      </c>
      <c r="CR25" s="14">
        <v>9.0399999999999991</v>
      </c>
      <c r="CS25" s="14">
        <v>20.260000000000002</v>
      </c>
      <c r="CT25" s="14">
        <f t="shared" si="29"/>
        <v>218.87999999999997</v>
      </c>
      <c r="CU25" s="14">
        <v>20.03</v>
      </c>
    </row>
    <row r="26" spans="1:99" x14ac:dyDescent="0.3">
      <c r="B26" s="18">
        <v>379</v>
      </c>
      <c r="C26" s="18" t="s">
        <v>99</v>
      </c>
      <c r="D26" s="18">
        <v>180</v>
      </c>
      <c r="E26" s="21">
        <v>0.20799999999999999</v>
      </c>
      <c r="F26" s="21">
        <v>1.0800000000000001E-2</v>
      </c>
      <c r="G26" s="21">
        <v>31.74</v>
      </c>
      <c r="H26" s="14">
        <f t="shared" si="21"/>
        <v>127.88919999999999</v>
      </c>
      <c r="I26" s="21">
        <v>0.13</v>
      </c>
      <c r="J26" s="89"/>
      <c r="K26" s="24"/>
      <c r="L26" s="18">
        <v>318</v>
      </c>
      <c r="M26" s="18" t="s">
        <v>100</v>
      </c>
      <c r="N26" s="18">
        <v>150</v>
      </c>
      <c r="O26" s="14">
        <v>2.86</v>
      </c>
      <c r="P26" s="14">
        <v>4.32</v>
      </c>
      <c r="Q26" s="14">
        <v>23.01</v>
      </c>
      <c r="R26" s="14">
        <f t="shared" si="24"/>
        <v>142.36000000000001</v>
      </c>
      <c r="S26" s="14">
        <v>21</v>
      </c>
      <c r="T26" s="89"/>
      <c r="U26" s="24"/>
      <c r="V26" s="18">
        <v>313</v>
      </c>
      <c r="W26" s="18" t="s">
        <v>101</v>
      </c>
      <c r="X26" s="18">
        <v>100</v>
      </c>
      <c r="Y26" s="14">
        <v>4.2</v>
      </c>
      <c r="Z26" s="14">
        <v>2.5499999999999998</v>
      </c>
      <c r="AA26" s="14">
        <v>25.26</v>
      </c>
      <c r="AB26" s="14">
        <f t="shared" si="22"/>
        <v>140.79000000000002</v>
      </c>
      <c r="AC26" s="14"/>
      <c r="AD26" s="89"/>
      <c r="AE26" s="24"/>
      <c r="AF26" s="18" t="s">
        <v>102</v>
      </c>
      <c r="AG26" s="19" t="s">
        <v>103</v>
      </c>
      <c r="AH26" s="19">
        <v>120</v>
      </c>
      <c r="AI26" s="14">
        <v>6.2</v>
      </c>
      <c r="AJ26" s="14">
        <v>8.2799999999999994</v>
      </c>
      <c r="AK26" s="14">
        <v>15.03</v>
      </c>
      <c r="AL26" s="14">
        <f t="shared" si="30"/>
        <v>159.44</v>
      </c>
      <c r="AM26" s="22"/>
      <c r="AN26" s="89"/>
      <c r="AO26" s="24"/>
      <c r="AP26" s="18">
        <v>205</v>
      </c>
      <c r="AQ26" s="18" t="s">
        <v>104</v>
      </c>
      <c r="AR26" s="18">
        <v>130</v>
      </c>
      <c r="AS26" s="22">
        <v>4.76</v>
      </c>
      <c r="AT26" s="22">
        <v>3.66</v>
      </c>
      <c r="AU26" s="22">
        <v>22.86</v>
      </c>
      <c r="AV26" s="14">
        <f t="shared" si="25"/>
        <v>143.41999999999999</v>
      </c>
      <c r="AW26" s="14"/>
      <c r="AX26" s="89"/>
      <c r="AY26" s="24"/>
      <c r="AZ26" s="18">
        <v>318</v>
      </c>
      <c r="BA26" s="18" t="s">
        <v>100</v>
      </c>
      <c r="BB26" s="18">
        <v>100</v>
      </c>
      <c r="BC26" s="14">
        <v>1.91</v>
      </c>
      <c r="BD26" s="14">
        <v>2.88</v>
      </c>
      <c r="BE26" s="14">
        <v>15.34</v>
      </c>
      <c r="BF26" s="14">
        <f t="shared" si="23"/>
        <v>94.92</v>
      </c>
      <c r="BG26" s="22"/>
      <c r="BH26" s="85"/>
      <c r="BI26" s="24"/>
      <c r="BJ26" s="18">
        <v>313</v>
      </c>
      <c r="BK26" s="18" t="s">
        <v>101</v>
      </c>
      <c r="BL26" s="18">
        <v>120</v>
      </c>
      <c r="BM26" s="14">
        <f>57.32*120/1000</f>
        <v>6.8784000000000001</v>
      </c>
      <c r="BN26" s="14">
        <f>40.62*120/1000</f>
        <v>4.8743999999999996</v>
      </c>
      <c r="BO26" s="14">
        <f>257.61*250/1000</f>
        <v>64.402500000000003</v>
      </c>
      <c r="BP26" s="14">
        <f t="shared" si="26"/>
        <v>328.9932</v>
      </c>
      <c r="BQ26" s="14"/>
      <c r="BR26" s="85"/>
      <c r="BS26" s="24"/>
      <c r="BT26" s="18">
        <v>321</v>
      </c>
      <c r="BU26" s="18" t="s">
        <v>105</v>
      </c>
      <c r="BV26" s="18">
        <v>130</v>
      </c>
      <c r="BW26" s="14">
        <v>2.65</v>
      </c>
      <c r="BX26" s="14">
        <v>4.16</v>
      </c>
      <c r="BY26" s="14">
        <v>17.7</v>
      </c>
      <c r="BZ26" s="14">
        <f t="shared" si="27"/>
        <v>118.83999999999999</v>
      </c>
      <c r="CA26" s="14">
        <v>15.74</v>
      </c>
      <c r="CB26" s="85"/>
      <c r="CC26" s="24"/>
      <c r="CD26" s="18">
        <v>322</v>
      </c>
      <c r="CE26" s="18" t="s">
        <v>106</v>
      </c>
      <c r="CF26" s="18">
        <v>130</v>
      </c>
      <c r="CG26" s="14">
        <v>2.48</v>
      </c>
      <c r="CH26" s="14">
        <v>4</v>
      </c>
      <c r="CI26" s="14">
        <v>15.61</v>
      </c>
      <c r="CJ26" s="14">
        <f t="shared" si="28"/>
        <v>108.36</v>
      </c>
      <c r="CK26" s="14">
        <v>13.65</v>
      </c>
      <c r="CL26" s="85"/>
      <c r="CM26" s="24"/>
      <c r="CN26" s="18">
        <v>355</v>
      </c>
      <c r="CO26" s="18" t="s">
        <v>107</v>
      </c>
      <c r="CP26" s="18">
        <v>30</v>
      </c>
      <c r="CQ26" s="14">
        <f>17.62*30/1000</f>
        <v>0.52860000000000007</v>
      </c>
      <c r="CR26" s="14">
        <f>49.96*30/1000</f>
        <v>1.4987999999999999</v>
      </c>
      <c r="CS26" s="14">
        <f>70.24*30/1000</f>
        <v>2.1071999999999997</v>
      </c>
      <c r="CT26" s="14">
        <f t="shared" si="29"/>
        <v>24.032399999999999</v>
      </c>
      <c r="CU26" s="14">
        <f>13.38*30/1000</f>
        <v>0.40140000000000003</v>
      </c>
    </row>
    <row r="27" spans="1:99" x14ac:dyDescent="0.3">
      <c r="B27" s="18"/>
      <c r="C27" s="18" t="s">
        <v>54</v>
      </c>
      <c r="D27" s="53">
        <v>50</v>
      </c>
      <c r="E27" s="12">
        <v>3.3</v>
      </c>
      <c r="F27" s="12">
        <v>0.6</v>
      </c>
      <c r="G27" s="13">
        <v>16.7</v>
      </c>
      <c r="H27" s="14">
        <f t="shared" si="21"/>
        <v>85.4</v>
      </c>
      <c r="I27" s="14"/>
      <c r="J27" s="89"/>
      <c r="K27" s="24"/>
      <c r="L27" s="18">
        <v>373</v>
      </c>
      <c r="M27" s="18" t="s">
        <v>108</v>
      </c>
      <c r="N27" s="18">
        <v>180</v>
      </c>
      <c r="O27" s="14">
        <f>1.2*180/1000</f>
        <v>0.216</v>
      </c>
      <c r="P27" s="14">
        <f>0.7*180/1000</f>
        <v>0.12599999999999997</v>
      </c>
      <c r="Q27" s="14">
        <f>139.16*180/1000</f>
        <v>25.0488</v>
      </c>
      <c r="R27" s="14">
        <f t="shared" si="24"/>
        <v>102.1932</v>
      </c>
      <c r="S27" s="22">
        <f>8.6*150/1000</f>
        <v>1.29</v>
      </c>
      <c r="T27" s="89"/>
      <c r="U27" s="24"/>
      <c r="V27" s="18">
        <v>382</v>
      </c>
      <c r="W27" s="18" t="s">
        <v>109</v>
      </c>
      <c r="X27" s="18">
        <v>180</v>
      </c>
      <c r="Y27" s="14">
        <f>20.99*180/1000</f>
        <v>3.7782</v>
      </c>
      <c r="Z27" s="14">
        <f>18.63*180/1000</f>
        <v>3.3533999999999997</v>
      </c>
      <c r="AA27" s="14">
        <f>151.23*180/1000</f>
        <v>27.221399999999999</v>
      </c>
      <c r="AB27" s="14">
        <f t="shared" si="22"/>
        <v>154.17899999999997</v>
      </c>
      <c r="AC27" s="14">
        <f>7.19*180/1000</f>
        <v>1.2942</v>
      </c>
      <c r="AD27" s="89"/>
      <c r="AE27" s="24"/>
      <c r="AF27" s="18">
        <v>376</v>
      </c>
      <c r="AG27" s="18" t="s">
        <v>110</v>
      </c>
      <c r="AH27" s="18">
        <v>200</v>
      </c>
      <c r="AI27" s="14">
        <v>0.44</v>
      </c>
      <c r="AJ27" s="14">
        <v>0.02</v>
      </c>
      <c r="AK27" s="14">
        <v>27.77</v>
      </c>
      <c r="AL27" s="14">
        <f>AK27*4+AJ27*9+AI27*4</f>
        <v>113.02000000000001</v>
      </c>
      <c r="AM27" s="14">
        <v>0.4</v>
      </c>
      <c r="AN27" s="89"/>
      <c r="AO27" s="24"/>
      <c r="AP27" s="18">
        <v>372</v>
      </c>
      <c r="AQ27" s="18" t="s">
        <v>108</v>
      </c>
      <c r="AR27" s="53">
        <v>180</v>
      </c>
      <c r="AS27" s="14">
        <f>0.8*180/1000</f>
        <v>0.14399999999999999</v>
      </c>
      <c r="AT27" s="14">
        <f>0.6*180/1000</f>
        <v>0.108</v>
      </c>
      <c r="AU27" s="14">
        <f>120.4*180/1000</f>
        <v>21.672000000000001</v>
      </c>
      <c r="AV27" s="14">
        <f t="shared" si="25"/>
        <v>88.23599999999999</v>
      </c>
      <c r="AW27" s="14">
        <f>4.3*180/1000</f>
        <v>0.77400000000000002</v>
      </c>
      <c r="AX27" s="89"/>
      <c r="AY27" s="24"/>
      <c r="AZ27" s="18">
        <v>376</v>
      </c>
      <c r="BA27" s="18" t="s">
        <v>110</v>
      </c>
      <c r="BB27" s="18">
        <v>200</v>
      </c>
      <c r="BC27" s="14">
        <v>0.44</v>
      </c>
      <c r="BD27" s="14">
        <v>0.22</v>
      </c>
      <c r="BE27" s="14">
        <v>27.77</v>
      </c>
      <c r="BF27" s="14">
        <f t="shared" si="23"/>
        <v>114.82000000000001</v>
      </c>
      <c r="BG27" s="14">
        <v>0.4</v>
      </c>
      <c r="BH27" s="85"/>
      <c r="BI27" s="24"/>
      <c r="BJ27" s="18">
        <v>372</v>
      </c>
      <c r="BK27" s="18" t="s">
        <v>108</v>
      </c>
      <c r="BL27" s="18">
        <v>180</v>
      </c>
      <c r="BM27" s="14">
        <f>0.8*180/1000</f>
        <v>0.14399999999999999</v>
      </c>
      <c r="BN27" s="14">
        <f>0.6*180/1000</f>
        <v>0.108</v>
      </c>
      <c r="BO27" s="14">
        <f>120.4*180/1000</f>
        <v>21.672000000000001</v>
      </c>
      <c r="BP27" s="14">
        <f t="shared" si="26"/>
        <v>88.23599999999999</v>
      </c>
      <c r="BQ27" s="14">
        <f>4.3*180/1000</f>
        <v>0.77400000000000002</v>
      </c>
      <c r="BR27" s="85"/>
      <c r="BS27" s="24"/>
      <c r="BT27" s="18">
        <v>384</v>
      </c>
      <c r="BU27" s="18" t="s">
        <v>111</v>
      </c>
      <c r="BV27" s="18">
        <v>180</v>
      </c>
      <c r="BW27" s="14">
        <f>20.99*180/1000</f>
        <v>3.7782</v>
      </c>
      <c r="BX27" s="14">
        <f>18.63*180/1000</f>
        <v>3.3533999999999997</v>
      </c>
      <c r="BY27" s="14">
        <f>151.23*180/1000</f>
        <v>27.221399999999999</v>
      </c>
      <c r="BZ27" s="14">
        <f t="shared" si="27"/>
        <v>154.17899999999997</v>
      </c>
      <c r="CA27" s="14">
        <f>7.19*180/1000</f>
        <v>1.2942</v>
      </c>
      <c r="CB27" s="85"/>
      <c r="CC27" s="24"/>
      <c r="CD27" s="18">
        <v>376</v>
      </c>
      <c r="CE27" s="18" t="s">
        <v>112</v>
      </c>
      <c r="CF27" s="18">
        <v>200</v>
      </c>
      <c r="CG27" s="14">
        <f>2.2*200/1000</f>
        <v>0.44000000000000006</v>
      </c>
      <c r="CH27" s="14">
        <f>0.1*200/1000</f>
        <v>0.02</v>
      </c>
      <c r="CI27" s="14">
        <f>138.84*200/1000</f>
        <v>27.768000000000001</v>
      </c>
      <c r="CJ27" s="14">
        <f t="shared" si="28"/>
        <v>113.01200000000001</v>
      </c>
      <c r="CK27" s="14">
        <f>2*200/1000</f>
        <v>0.4</v>
      </c>
      <c r="CL27" s="85"/>
      <c r="CM27" s="24"/>
      <c r="CN27" s="18">
        <v>384</v>
      </c>
      <c r="CO27" s="18" t="s">
        <v>111</v>
      </c>
      <c r="CP27" s="18">
        <v>180</v>
      </c>
      <c r="CQ27" s="14">
        <v>3.78</v>
      </c>
      <c r="CR27" s="14">
        <v>3.35</v>
      </c>
      <c r="CS27" s="14">
        <v>27.22</v>
      </c>
      <c r="CT27" s="14">
        <f t="shared" si="29"/>
        <v>154.15</v>
      </c>
      <c r="CU27" s="14">
        <v>1.29</v>
      </c>
    </row>
    <row r="28" spans="1:99" x14ac:dyDescent="0.3">
      <c r="C28" s="18" t="s">
        <v>49</v>
      </c>
      <c r="D28" s="53">
        <v>30</v>
      </c>
      <c r="E28" s="14">
        <v>2.37</v>
      </c>
      <c r="F28" s="14">
        <v>0.3</v>
      </c>
      <c r="G28" s="14">
        <v>14.49</v>
      </c>
      <c r="H28" s="14">
        <f t="shared" si="21"/>
        <v>70.14</v>
      </c>
      <c r="I28" s="14"/>
      <c r="J28" s="89"/>
      <c r="K28" s="24"/>
      <c r="L28" s="18"/>
      <c r="M28" s="18" t="s">
        <v>49</v>
      </c>
      <c r="N28" s="18">
        <v>20</v>
      </c>
      <c r="O28" s="14">
        <f>7.9*20/100</f>
        <v>1.58</v>
      </c>
      <c r="P28" s="14">
        <f>1*20/100</f>
        <v>0.2</v>
      </c>
      <c r="Q28" s="14">
        <f>48.3*20/100</f>
        <v>9.66</v>
      </c>
      <c r="R28" s="14">
        <f t="shared" si="24"/>
        <v>46.76</v>
      </c>
      <c r="S28" s="14"/>
      <c r="T28" s="89"/>
      <c r="U28" s="24"/>
      <c r="V28" s="18"/>
      <c r="W28" s="18" t="s">
        <v>49</v>
      </c>
      <c r="X28" s="18">
        <v>40</v>
      </c>
      <c r="Y28" s="12">
        <v>3.16</v>
      </c>
      <c r="Z28" s="12">
        <v>0.4</v>
      </c>
      <c r="AA28" s="13">
        <v>19.32</v>
      </c>
      <c r="AB28" s="14">
        <f t="shared" si="22"/>
        <v>93.52</v>
      </c>
      <c r="AC28" s="14"/>
      <c r="AD28" s="89"/>
      <c r="AE28" s="24"/>
      <c r="AF28" s="18"/>
      <c r="AG28" s="18" t="s">
        <v>54</v>
      </c>
      <c r="AH28" s="53">
        <v>50</v>
      </c>
      <c r="AI28" s="12">
        <v>3.3</v>
      </c>
      <c r="AJ28" s="12">
        <v>0.6</v>
      </c>
      <c r="AK28" s="13">
        <v>16.7</v>
      </c>
      <c r="AL28" s="14">
        <f t="shared" ref="AL28" si="31">AK28*4+AJ28*9+AI28*4</f>
        <v>85.4</v>
      </c>
      <c r="AM28" s="14"/>
      <c r="AN28" s="89"/>
      <c r="AO28" s="24"/>
      <c r="AP28" s="18"/>
      <c r="AQ28" s="18" t="s">
        <v>54</v>
      </c>
      <c r="AR28" s="53">
        <v>50</v>
      </c>
      <c r="AS28" s="12">
        <v>3.3</v>
      </c>
      <c r="AT28" s="12">
        <v>0.6</v>
      </c>
      <c r="AU28" s="13">
        <v>16.7</v>
      </c>
      <c r="AV28" s="14">
        <f t="shared" si="25"/>
        <v>85.4</v>
      </c>
      <c r="AW28" s="14"/>
      <c r="AX28" s="89"/>
      <c r="AY28" s="24"/>
      <c r="AZ28" s="18"/>
      <c r="BA28" s="18" t="s">
        <v>49</v>
      </c>
      <c r="BB28" s="18">
        <v>40</v>
      </c>
      <c r="BC28" s="12">
        <v>3.16</v>
      </c>
      <c r="BD28" s="12">
        <v>0.4</v>
      </c>
      <c r="BE28" s="13">
        <v>19.32</v>
      </c>
      <c r="BF28" s="14">
        <f t="shared" si="23"/>
        <v>93.52</v>
      </c>
      <c r="BG28" s="14"/>
      <c r="BH28" s="85"/>
      <c r="BI28" s="24"/>
      <c r="BJ28" s="18"/>
      <c r="BK28" s="19" t="s">
        <v>54</v>
      </c>
      <c r="BL28" s="19">
        <v>50</v>
      </c>
      <c r="BM28" s="21">
        <v>3.3</v>
      </c>
      <c r="BN28" s="21">
        <v>0.6</v>
      </c>
      <c r="BO28" s="21">
        <v>16.7</v>
      </c>
      <c r="BP28" s="14">
        <f t="shared" si="26"/>
        <v>85.4</v>
      </c>
      <c r="BQ28" s="22"/>
      <c r="BR28" s="85"/>
      <c r="BS28" s="24"/>
      <c r="BT28" s="18"/>
      <c r="BU28" s="19" t="s">
        <v>54</v>
      </c>
      <c r="BV28" s="19">
        <v>50</v>
      </c>
      <c r="BW28" s="21">
        <v>3.3</v>
      </c>
      <c r="BX28" s="21">
        <v>0.6</v>
      </c>
      <c r="BY28" s="21">
        <v>16.7</v>
      </c>
      <c r="BZ28" s="13">
        <f>BY28*4+BX28*9+BW28*4</f>
        <v>85.4</v>
      </c>
      <c r="CA28" s="22"/>
      <c r="CB28" s="85"/>
      <c r="CC28" s="24"/>
      <c r="CD28" s="18"/>
      <c r="CE28" s="18" t="s">
        <v>49</v>
      </c>
      <c r="CF28" s="18">
        <v>30</v>
      </c>
      <c r="CG28" s="14">
        <v>2.37</v>
      </c>
      <c r="CH28" s="14">
        <v>0.3</v>
      </c>
      <c r="CI28" s="14">
        <v>14.49</v>
      </c>
      <c r="CJ28" s="14">
        <f t="shared" si="28"/>
        <v>70.14</v>
      </c>
      <c r="CK28" s="21"/>
      <c r="CL28" s="85"/>
      <c r="CM28" s="24"/>
      <c r="CN28" s="18"/>
      <c r="CO28" s="18" t="s">
        <v>49</v>
      </c>
      <c r="CP28" s="18">
        <v>30</v>
      </c>
      <c r="CQ28" s="14">
        <v>2.37</v>
      </c>
      <c r="CR28" s="14">
        <v>0.3</v>
      </c>
      <c r="CS28" s="14">
        <v>14.49</v>
      </c>
      <c r="CT28" s="14">
        <f t="shared" si="29"/>
        <v>70.14</v>
      </c>
      <c r="CU28" s="14"/>
    </row>
    <row r="29" spans="1:99" x14ac:dyDescent="0.3">
      <c r="E29" s="60"/>
      <c r="F29" s="60"/>
      <c r="G29" s="60"/>
      <c r="H29" s="60"/>
      <c r="I29" s="60"/>
      <c r="J29" s="89"/>
      <c r="K29" s="24"/>
      <c r="M29" s="18" t="s">
        <v>54</v>
      </c>
      <c r="N29" s="53">
        <v>50</v>
      </c>
      <c r="O29" s="12">
        <v>3.3</v>
      </c>
      <c r="P29" s="12">
        <v>0.6</v>
      </c>
      <c r="Q29" s="13">
        <v>16.7</v>
      </c>
      <c r="R29" s="14">
        <f t="shared" si="24"/>
        <v>85.4</v>
      </c>
      <c r="S29" s="14"/>
      <c r="T29" s="89"/>
      <c r="U29" s="24"/>
      <c r="AD29" s="89"/>
      <c r="AE29" s="24"/>
      <c r="AG29" s="18"/>
      <c r="AH29" s="18"/>
      <c r="AI29" s="21"/>
      <c r="AJ29" s="21"/>
      <c r="AK29" s="21"/>
      <c r="AL29" s="21"/>
      <c r="AM29" s="14"/>
      <c r="AN29" s="89"/>
      <c r="AO29" s="24"/>
      <c r="AQ29" s="24"/>
      <c r="AR29" s="24"/>
      <c r="AS29" s="36"/>
      <c r="AT29" s="36"/>
      <c r="AU29" s="36"/>
      <c r="AV29" s="36"/>
      <c r="AW29" s="36"/>
      <c r="AX29" s="89"/>
      <c r="AY29" s="24"/>
      <c r="BA29" s="18" t="s">
        <v>54</v>
      </c>
      <c r="BB29" s="18">
        <v>25</v>
      </c>
      <c r="BC29" s="14">
        <v>1.65</v>
      </c>
      <c r="BD29" s="14">
        <v>0.18</v>
      </c>
      <c r="BE29" s="14">
        <v>8.5299999999999994</v>
      </c>
      <c r="BF29" s="14">
        <f t="shared" si="23"/>
        <v>42.339999999999996</v>
      </c>
      <c r="BG29" s="14"/>
      <c r="BH29" s="85"/>
      <c r="BI29" s="24"/>
      <c r="BK29" s="18" t="s">
        <v>49</v>
      </c>
      <c r="BL29" s="18">
        <v>20</v>
      </c>
      <c r="BM29" s="14">
        <f>7.9*20/100</f>
        <v>1.58</v>
      </c>
      <c r="BN29" s="14">
        <f>1*20/100</f>
        <v>0.2</v>
      </c>
      <c r="BO29" s="14">
        <f>48.3*20/100</f>
        <v>9.66</v>
      </c>
      <c r="BP29" s="14">
        <f t="shared" si="26"/>
        <v>46.76</v>
      </c>
      <c r="BQ29" s="14"/>
      <c r="BR29" s="85"/>
      <c r="BS29" s="24"/>
      <c r="BU29" s="24"/>
      <c r="BV29" s="24"/>
      <c r="BW29" s="36"/>
      <c r="BX29" s="36"/>
      <c r="BY29" s="36"/>
      <c r="BZ29" s="36"/>
      <c r="CA29" s="36"/>
      <c r="CB29" s="85"/>
      <c r="CC29" s="24"/>
      <c r="CD29" s="18"/>
      <c r="CE29" s="18" t="s">
        <v>54</v>
      </c>
      <c r="CF29" s="18">
        <v>25</v>
      </c>
      <c r="CG29" s="14">
        <v>1.65</v>
      </c>
      <c r="CH29" s="14">
        <v>0.18</v>
      </c>
      <c r="CI29" s="14">
        <v>8.5299999999999994</v>
      </c>
      <c r="CJ29" s="14">
        <f t="shared" si="28"/>
        <v>42.339999999999996</v>
      </c>
      <c r="CK29" s="14"/>
      <c r="CL29" s="85"/>
      <c r="CM29" s="44"/>
      <c r="CN29" s="18"/>
      <c r="CO29" s="18" t="s">
        <v>54</v>
      </c>
      <c r="CP29" s="18">
        <v>25</v>
      </c>
      <c r="CQ29" s="14">
        <v>1.65</v>
      </c>
      <c r="CR29" s="14">
        <v>0.18</v>
      </c>
      <c r="CS29" s="14">
        <v>8.5299999999999994</v>
      </c>
      <c r="CT29" s="21">
        <v>41.62</v>
      </c>
      <c r="CU29" s="14"/>
    </row>
    <row r="30" spans="1:99" x14ac:dyDescent="0.3">
      <c r="E30" s="60"/>
      <c r="F30" s="60"/>
      <c r="G30" s="60"/>
      <c r="H30" s="60"/>
      <c r="I30" s="60"/>
      <c r="J30" s="89"/>
      <c r="K30" s="24"/>
      <c r="T30" s="89"/>
      <c r="U30" s="24"/>
      <c r="W30" s="24"/>
      <c r="X30" s="24"/>
      <c r="Y30" s="36"/>
      <c r="Z30" s="36"/>
      <c r="AA30" s="36"/>
      <c r="AB30" s="36"/>
      <c r="AC30" s="36"/>
      <c r="AD30" s="89"/>
      <c r="AE30" s="24"/>
      <c r="AG30" s="24"/>
      <c r="AH30" s="24"/>
      <c r="AI30" s="36"/>
      <c r="AJ30" s="36"/>
      <c r="AK30" s="36"/>
      <c r="AL30" s="36"/>
      <c r="AM30" s="36"/>
      <c r="AN30" s="89"/>
      <c r="AO30" s="24"/>
      <c r="AQ30" s="24"/>
      <c r="AR30" s="24"/>
      <c r="AS30" s="36"/>
      <c r="AT30" s="36"/>
      <c r="AU30" s="36"/>
      <c r="AV30" s="36"/>
      <c r="AW30" s="36"/>
      <c r="AX30" s="89"/>
      <c r="AY30" s="24"/>
      <c r="BA30" s="24"/>
      <c r="BB30" s="24"/>
      <c r="BC30" s="24"/>
      <c r="BD30" s="24"/>
      <c r="BE30" s="24"/>
      <c r="BF30" s="24"/>
      <c r="BG30" s="24"/>
      <c r="BH30" s="85"/>
      <c r="BI30" s="24"/>
      <c r="BJ30" s="10"/>
      <c r="BK30" s="10"/>
      <c r="BL30" s="10"/>
      <c r="BM30" s="24"/>
      <c r="BN30" s="24"/>
      <c r="BO30" s="24"/>
      <c r="BP30" s="24"/>
      <c r="BQ30" s="24"/>
      <c r="BR30" s="85"/>
      <c r="BS30" s="24"/>
      <c r="BU30" s="24"/>
      <c r="BV30" s="24"/>
      <c r="BW30" s="36"/>
      <c r="BX30" s="36"/>
      <c r="BY30" s="36"/>
      <c r="BZ30" s="36"/>
      <c r="CA30" s="36"/>
      <c r="CB30" s="85"/>
      <c r="CC30" s="24"/>
      <c r="CE30" s="24"/>
      <c r="CF30" s="24"/>
      <c r="CG30" s="24"/>
      <c r="CH30" s="24"/>
      <c r="CI30" s="24"/>
      <c r="CJ30" s="24"/>
      <c r="CK30" s="24"/>
      <c r="CL30" s="85"/>
      <c r="CM30" s="44"/>
      <c r="CO30" s="44"/>
      <c r="CP30" s="44"/>
      <c r="CQ30" s="44"/>
      <c r="CR30" s="44"/>
      <c r="CS30" s="44"/>
      <c r="CT30" s="44"/>
      <c r="CU30" s="44"/>
    </row>
    <row r="31" spans="1:99" x14ac:dyDescent="0.3">
      <c r="A31" s="39" t="s">
        <v>55</v>
      </c>
      <c r="B31" s="40"/>
      <c r="C31" s="39"/>
      <c r="D31" s="39">
        <f t="shared" ref="D31:I31" si="32">SUM(D23:D30)</f>
        <v>700</v>
      </c>
      <c r="E31" s="39">
        <f t="shared" si="32"/>
        <v>30.368000000000002</v>
      </c>
      <c r="F31" s="39">
        <f t="shared" si="32"/>
        <v>22.250800000000002</v>
      </c>
      <c r="G31" s="39">
        <f t="shared" si="32"/>
        <v>96.559999999999988</v>
      </c>
      <c r="H31" s="39">
        <f t="shared" si="32"/>
        <v>707.9692</v>
      </c>
      <c r="I31" s="39">
        <f t="shared" si="32"/>
        <v>11.930000000000001</v>
      </c>
      <c r="J31" s="89"/>
      <c r="K31" s="40" t="s">
        <v>55</v>
      </c>
      <c r="L31" s="40"/>
      <c r="M31" s="40"/>
      <c r="N31" s="40">
        <f t="shared" ref="N31:S31" si="33">SUM(N23:N29)</f>
        <v>750</v>
      </c>
      <c r="O31" s="40">
        <f t="shared" si="33"/>
        <v>29.291</v>
      </c>
      <c r="P31" s="40">
        <f t="shared" si="33"/>
        <v>24.675600000000003</v>
      </c>
      <c r="Q31" s="40">
        <f t="shared" si="33"/>
        <v>94.550799999999995</v>
      </c>
      <c r="R31" s="40">
        <f t="shared" si="33"/>
        <v>717.44759999999997</v>
      </c>
      <c r="S31" s="40">
        <f t="shared" si="33"/>
        <v>33.9</v>
      </c>
      <c r="T31" s="89"/>
      <c r="U31" s="40" t="s">
        <v>55</v>
      </c>
      <c r="V31" s="40"/>
      <c r="W31" s="40"/>
      <c r="X31" s="40">
        <f>SUM(X23:X28)</f>
        <v>520</v>
      </c>
      <c r="Y31" s="54">
        <f>SUM(Y24:Y30)</f>
        <v>30.418199999999995</v>
      </c>
      <c r="Z31" s="54">
        <f>SUM(Z24:Z30)</f>
        <v>24.583400000000001</v>
      </c>
      <c r="AA31" s="54">
        <f>SUM(AA24:AA30)</f>
        <v>81.721399999999988</v>
      </c>
      <c r="AB31" s="54">
        <f>SUM(AB24:AB30)</f>
        <v>669.80899999999997</v>
      </c>
      <c r="AC31" s="54">
        <f>SUM(AC24:AC30)</f>
        <v>15.284199999999998</v>
      </c>
      <c r="AD31" s="89"/>
      <c r="AE31" s="40" t="s">
        <v>55</v>
      </c>
      <c r="AF31" s="40"/>
      <c r="AG31" s="40"/>
      <c r="AH31" s="40">
        <f t="shared" ref="AH31:AM31" si="34">SUM(AH23:AH30)</f>
        <v>710</v>
      </c>
      <c r="AI31" s="40">
        <f t="shared" si="34"/>
        <v>26.688000000000002</v>
      </c>
      <c r="AJ31" s="40">
        <f t="shared" si="34"/>
        <v>27.419999999999998</v>
      </c>
      <c r="AK31" s="40">
        <f t="shared" si="34"/>
        <v>100.15</v>
      </c>
      <c r="AL31" s="40">
        <f t="shared" si="34"/>
        <v>754.13199999999995</v>
      </c>
      <c r="AM31" s="40">
        <f t="shared" si="34"/>
        <v>0.60000000000000009</v>
      </c>
      <c r="AN31" s="89"/>
      <c r="AO31" s="40" t="s">
        <v>55</v>
      </c>
      <c r="AP31" s="40"/>
      <c r="AQ31" s="40"/>
      <c r="AR31" s="40">
        <f t="shared" ref="AR31:AW31" si="35">SUM(AR23:AR30)</f>
        <v>700</v>
      </c>
      <c r="AS31" s="40">
        <f t="shared" si="35"/>
        <v>23.753999999999998</v>
      </c>
      <c r="AT31" s="40">
        <f t="shared" si="35"/>
        <v>21.228000000000002</v>
      </c>
      <c r="AU31" s="40">
        <f t="shared" si="35"/>
        <v>88.372</v>
      </c>
      <c r="AV31" s="40">
        <f t="shared" si="35"/>
        <v>639.55599999999993</v>
      </c>
      <c r="AW31" s="40">
        <f t="shared" si="35"/>
        <v>12.904</v>
      </c>
      <c r="AX31" s="89"/>
      <c r="AY31" s="40" t="s">
        <v>55</v>
      </c>
      <c r="AZ31" s="40"/>
      <c r="BA31" s="40"/>
      <c r="BB31" s="54">
        <f>SUM(BB23:BB29)</f>
        <v>695</v>
      </c>
      <c r="BC31" s="54">
        <f t="shared" ref="BC31:BG31" si="36">SUM(BC23:BC29)</f>
        <v>25.45</v>
      </c>
      <c r="BD31" s="54">
        <f t="shared" si="36"/>
        <v>18.349999999999998</v>
      </c>
      <c r="BE31" s="54">
        <f t="shared" si="36"/>
        <v>94.73599999999999</v>
      </c>
      <c r="BF31" s="54">
        <f t="shared" si="36"/>
        <v>645.89400000000001</v>
      </c>
      <c r="BG31" s="54">
        <f t="shared" si="36"/>
        <v>11.67</v>
      </c>
      <c r="BH31" s="85"/>
      <c r="BI31" s="40" t="s">
        <v>55</v>
      </c>
      <c r="BJ31" s="40"/>
      <c r="BK31" s="40"/>
      <c r="BL31" s="54">
        <f>SUM(BL23:BL29)</f>
        <v>710</v>
      </c>
      <c r="BM31" s="54">
        <f t="shared" ref="BM31:BQ31" si="37">SUM(BM23:BM28)</f>
        <v>27.282399999999999</v>
      </c>
      <c r="BN31" s="54">
        <f t="shared" si="37"/>
        <v>15.202400000000001</v>
      </c>
      <c r="BO31" s="54">
        <f t="shared" si="37"/>
        <v>118.75450000000001</v>
      </c>
      <c r="BP31" s="54">
        <f t="shared" si="37"/>
        <v>720.9692</v>
      </c>
      <c r="BQ31" s="54">
        <f t="shared" si="37"/>
        <v>12.193999999999999</v>
      </c>
      <c r="BR31" s="85"/>
      <c r="BS31" s="40" t="s">
        <v>55</v>
      </c>
      <c r="BT31" s="40"/>
      <c r="BU31" s="40"/>
      <c r="BV31" s="40">
        <f>SUM(BV23:BV30)</f>
        <v>700</v>
      </c>
      <c r="BW31" s="54">
        <f>SUM(BW23:BW30)</f>
        <v>23.258199999999999</v>
      </c>
      <c r="BX31" s="40">
        <f t="shared" ref="BX31:CA31" si="38">SUM(BX23:BX30)</f>
        <v>16.373400000000004</v>
      </c>
      <c r="BY31" s="40">
        <f t="shared" si="38"/>
        <v>89.061400000000006</v>
      </c>
      <c r="BZ31" s="40">
        <f t="shared" si="38"/>
        <v>596.6389999999999</v>
      </c>
      <c r="CA31" s="40">
        <f t="shared" si="38"/>
        <v>32.834199999999996</v>
      </c>
      <c r="CB31" s="85"/>
      <c r="CC31" s="40" t="s">
        <v>55</v>
      </c>
      <c r="CD31" s="40"/>
      <c r="CE31" s="40"/>
      <c r="CF31" s="40">
        <f t="shared" ref="CF31:CK31" si="39">SUM(CF23:CF30)</f>
        <v>725</v>
      </c>
      <c r="CG31" s="54">
        <f t="shared" si="39"/>
        <v>20.08666666666667</v>
      </c>
      <c r="CH31" s="54">
        <f t="shared" si="39"/>
        <v>22.590000000000003</v>
      </c>
      <c r="CI31" s="54">
        <f t="shared" si="39"/>
        <v>88.37466666666667</v>
      </c>
      <c r="CJ31" s="54">
        <f t="shared" si="39"/>
        <v>637.15533333333337</v>
      </c>
      <c r="CK31" s="54">
        <f t="shared" si="39"/>
        <v>20.799999999999997</v>
      </c>
      <c r="CL31" s="85"/>
      <c r="CM31" s="40" t="s">
        <v>55</v>
      </c>
      <c r="CN31" s="40"/>
      <c r="CO31" s="40"/>
      <c r="CP31" s="40">
        <f t="shared" ref="CP31:CU31" si="40">SUM(CP23:CP30)</f>
        <v>665</v>
      </c>
      <c r="CQ31" s="40">
        <f t="shared" si="40"/>
        <v>24.928800000000003</v>
      </c>
      <c r="CR31" s="40">
        <f t="shared" si="40"/>
        <v>19.105599999999999</v>
      </c>
      <c r="CS31" s="40">
        <f t="shared" si="40"/>
        <v>86.586600000000004</v>
      </c>
      <c r="CT31" s="40">
        <f t="shared" si="40"/>
        <v>617.29199999999992</v>
      </c>
      <c r="CU31" s="40">
        <f t="shared" si="40"/>
        <v>31.741399999999999</v>
      </c>
    </row>
    <row r="32" spans="1:99" x14ac:dyDescent="0.3">
      <c r="A32" s="39" t="s">
        <v>56</v>
      </c>
      <c r="B32" s="40"/>
      <c r="C32" s="39"/>
      <c r="D32" s="39" t="s">
        <v>113</v>
      </c>
      <c r="E32" s="39">
        <v>18.899999999999999</v>
      </c>
      <c r="F32" s="39">
        <v>21</v>
      </c>
      <c r="G32" s="41">
        <v>91.35</v>
      </c>
      <c r="H32" s="41">
        <v>630</v>
      </c>
      <c r="I32" s="39"/>
      <c r="J32" s="89"/>
      <c r="K32" s="40" t="s">
        <v>56</v>
      </c>
      <c r="L32" s="40"/>
      <c r="M32" s="40"/>
      <c r="N32" s="40" t="s">
        <v>113</v>
      </c>
      <c r="O32" s="40">
        <v>18.899999999999999</v>
      </c>
      <c r="P32" s="40">
        <v>21</v>
      </c>
      <c r="Q32" s="42">
        <v>91.35</v>
      </c>
      <c r="R32" s="42">
        <v>630</v>
      </c>
      <c r="S32" s="40"/>
      <c r="T32" s="89"/>
      <c r="U32" s="40" t="s">
        <v>56</v>
      </c>
      <c r="V32" s="40"/>
      <c r="W32" s="40"/>
      <c r="X32" s="40" t="s">
        <v>113</v>
      </c>
      <c r="Y32" s="40">
        <v>18.899999999999999</v>
      </c>
      <c r="Z32" s="40">
        <v>21</v>
      </c>
      <c r="AA32" s="42">
        <v>91.35</v>
      </c>
      <c r="AB32" s="42">
        <v>630</v>
      </c>
      <c r="AC32" s="40"/>
      <c r="AD32" s="89"/>
      <c r="AE32" s="40" t="s">
        <v>56</v>
      </c>
      <c r="AF32" s="40"/>
      <c r="AG32" s="40"/>
      <c r="AH32" s="40" t="s">
        <v>113</v>
      </c>
      <c r="AI32" s="54">
        <v>18.899999999999999</v>
      </c>
      <c r="AJ32" s="54">
        <v>21</v>
      </c>
      <c r="AK32" s="54">
        <v>91.35</v>
      </c>
      <c r="AL32" s="54">
        <v>630</v>
      </c>
      <c r="AM32" s="54"/>
      <c r="AN32" s="89"/>
      <c r="AO32" s="40" t="s">
        <v>56</v>
      </c>
      <c r="AP32" s="40"/>
      <c r="AQ32" s="40"/>
      <c r="AR32" s="40" t="s">
        <v>113</v>
      </c>
      <c r="AS32" s="54">
        <v>18.899999999999999</v>
      </c>
      <c r="AT32" s="54">
        <v>21</v>
      </c>
      <c r="AU32" s="54">
        <v>91.35</v>
      </c>
      <c r="AV32" s="54">
        <v>630</v>
      </c>
      <c r="AW32" s="54"/>
      <c r="AX32" s="89"/>
      <c r="AY32" s="40" t="s">
        <v>56</v>
      </c>
      <c r="AZ32" s="40"/>
      <c r="BA32" s="40"/>
      <c r="BB32" s="40" t="s">
        <v>113</v>
      </c>
      <c r="BC32" s="54">
        <v>18.899999999999999</v>
      </c>
      <c r="BD32" s="54">
        <v>21</v>
      </c>
      <c r="BE32" s="54">
        <v>91.35</v>
      </c>
      <c r="BF32" s="54">
        <v>630</v>
      </c>
      <c r="BG32" s="54"/>
      <c r="BH32" s="85"/>
      <c r="BI32" s="40" t="s">
        <v>56</v>
      </c>
      <c r="BJ32" s="40"/>
      <c r="BK32" s="40"/>
      <c r="BL32" s="40" t="s">
        <v>113</v>
      </c>
      <c r="BM32" s="54">
        <v>18.899999999999999</v>
      </c>
      <c r="BN32" s="54">
        <v>21</v>
      </c>
      <c r="BO32" s="54">
        <v>91.35</v>
      </c>
      <c r="BP32" s="54">
        <v>630</v>
      </c>
      <c r="BQ32" s="54"/>
      <c r="BR32" s="85"/>
      <c r="BS32" s="40" t="s">
        <v>56</v>
      </c>
      <c r="BT32" s="40"/>
      <c r="BU32" s="40"/>
      <c r="BV32" s="40" t="s">
        <v>113</v>
      </c>
      <c r="BW32" s="40">
        <v>18.899999999999999</v>
      </c>
      <c r="BX32" s="40">
        <v>21</v>
      </c>
      <c r="BY32" s="42">
        <v>91.35</v>
      </c>
      <c r="BZ32" s="42">
        <v>630</v>
      </c>
      <c r="CA32" s="40"/>
      <c r="CB32" s="85"/>
      <c r="CC32" s="40" t="s">
        <v>56</v>
      </c>
      <c r="CD32" s="40"/>
      <c r="CE32" s="40"/>
      <c r="CF32" s="40" t="s">
        <v>113</v>
      </c>
      <c r="CG32" s="40">
        <v>18.899999999999999</v>
      </c>
      <c r="CH32" s="40">
        <v>21</v>
      </c>
      <c r="CI32" s="42">
        <v>91.35</v>
      </c>
      <c r="CJ32" s="42">
        <v>630</v>
      </c>
      <c r="CK32" s="40"/>
      <c r="CL32" s="85"/>
      <c r="CM32" s="40" t="s">
        <v>56</v>
      </c>
      <c r="CN32" s="40"/>
      <c r="CO32" s="40"/>
      <c r="CP32" s="40" t="s">
        <v>113</v>
      </c>
      <c r="CQ32" s="40">
        <v>18.899999999999999</v>
      </c>
      <c r="CR32" s="40">
        <v>21</v>
      </c>
      <c r="CS32" s="42">
        <v>91.35</v>
      </c>
      <c r="CT32" s="42">
        <v>630</v>
      </c>
      <c r="CU32" s="40"/>
    </row>
    <row r="33" spans="1:99" x14ac:dyDescent="0.3">
      <c r="A33" s="11"/>
      <c r="B33" s="10"/>
      <c r="C33" s="11"/>
      <c r="D33" s="11"/>
      <c r="E33" s="11"/>
      <c r="F33" s="11"/>
      <c r="G33" s="52"/>
      <c r="H33" s="52"/>
      <c r="I33" s="11"/>
      <c r="J33" s="89"/>
      <c r="K33" s="10"/>
      <c r="L33" s="10"/>
      <c r="M33" s="10"/>
      <c r="N33" s="10"/>
      <c r="O33" s="10"/>
      <c r="P33" s="10"/>
      <c r="Q33" s="57"/>
      <c r="R33" s="57"/>
      <c r="S33" s="10"/>
      <c r="T33" s="89"/>
      <c r="U33" s="10"/>
      <c r="V33" s="10"/>
      <c r="W33" s="10"/>
      <c r="X33" s="10"/>
      <c r="Y33" s="10"/>
      <c r="Z33" s="10"/>
      <c r="AA33" s="57"/>
      <c r="AB33" s="57"/>
      <c r="AC33" s="10"/>
      <c r="AD33" s="89"/>
      <c r="AE33" s="10"/>
      <c r="AF33" s="10"/>
      <c r="AG33" s="10"/>
      <c r="AH33" s="10"/>
      <c r="AI33" s="61"/>
      <c r="AJ33" s="61"/>
      <c r="AK33" s="61"/>
      <c r="AL33" s="61"/>
      <c r="AM33" s="61"/>
      <c r="AN33" s="89"/>
      <c r="AO33" s="55"/>
      <c r="AP33" s="10"/>
      <c r="AQ33" s="55"/>
      <c r="AR33" s="55"/>
      <c r="AS33" s="62"/>
      <c r="AT33" s="62"/>
      <c r="AU33" s="62"/>
      <c r="AV33" s="62"/>
      <c r="AW33" s="62"/>
      <c r="AX33" s="89"/>
      <c r="AY33" s="10"/>
      <c r="AZ33" s="10"/>
      <c r="BA33" s="10"/>
      <c r="BB33" s="10"/>
      <c r="BC33" s="61"/>
      <c r="BD33" s="61"/>
      <c r="BE33" s="61"/>
      <c r="BF33" s="61"/>
      <c r="BG33" s="61"/>
      <c r="BH33" s="85"/>
      <c r="BI33" s="10"/>
      <c r="BJ33" s="10"/>
      <c r="BK33" s="10"/>
      <c r="BL33" s="10"/>
      <c r="BM33" s="61"/>
      <c r="BN33" s="61"/>
      <c r="BO33" s="61"/>
      <c r="BP33" s="61"/>
      <c r="BQ33" s="61"/>
      <c r="BR33" s="85"/>
      <c r="BS33" s="10"/>
      <c r="BT33" s="10"/>
      <c r="BU33" s="10"/>
      <c r="BV33" s="10"/>
      <c r="BW33" s="10"/>
      <c r="BX33" s="10"/>
      <c r="BY33" s="57"/>
      <c r="BZ33" s="57"/>
      <c r="CA33" s="10"/>
      <c r="CB33" s="85"/>
      <c r="CC33" s="10"/>
      <c r="CD33" s="10"/>
      <c r="CE33" s="10"/>
      <c r="CF33" s="10"/>
      <c r="CG33" s="10"/>
      <c r="CH33" s="10"/>
      <c r="CI33" s="57"/>
      <c r="CJ33" s="57"/>
      <c r="CK33" s="10"/>
      <c r="CL33" s="85"/>
      <c r="CM33" s="10"/>
      <c r="CN33" s="10"/>
      <c r="CO33" s="10"/>
      <c r="CP33" s="10"/>
      <c r="CQ33" s="10"/>
      <c r="CR33" s="10"/>
      <c r="CS33" s="57"/>
      <c r="CT33" s="57"/>
      <c r="CU33" s="10"/>
    </row>
    <row r="34" spans="1:99" x14ac:dyDescent="0.3">
      <c r="A34" s="72" t="s">
        <v>114</v>
      </c>
      <c r="B34" s="73"/>
      <c r="C34" s="73"/>
      <c r="D34" s="73"/>
      <c r="E34" s="73"/>
      <c r="F34" s="73"/>
      <c r="G34" s="73"/>
      <c r="H34" s="73"/>
      <c r="I34" s="74"/>
      <c r="J34" s="89"/>
      <c r="K34" s="69" t="s">
        <v>114</v>
      </c>
      <c r="L34" s="70"/>
      <c r="M34" s="70"/>
      <c r="N34" s="70"/>
      <c r="O34" s="70"/>
      <c r="P34" s="70"/>
      <c r="Q34" s="70"/>
      <c r="R34" s="70"/>
      <c r="S34" s="71"/>
      <c r="T34" s="89"/>
      <c r="U34" s="69" t="s">
        <v>114</v>
      </c>
      <c r="V34" s="70"/>
      <c r="W34" s="70"/>
      <c r="X34" s="70"/>
      <c r="Y34" s="70"/>
      <c r="Z34" s="70"/>
      <c r="AA34" s="70"/>
      <c r="AB34" s="70"/>
      <c r="AC34" s="71"/>
      <c r="AD34" s="89"/>
      <c r="AE34" s="67" t="s">
        <v>114</v>
      </c>
      <c r="AF34" s="68"/>
      <c r="AG34" s="68"/>
      <c r="AH34" s="47"/>
      <c r="AI34" s="47"/>
      <c r="AJ34" s="47"/>
      <c r="AK34" s="47"/>
      <c r="AL34" s="47"/>
      <c r="AM34" s="59"/>
      <c r="AN34" s="89"/>
      <c r="AO34" s="69" t="s">
        <v>114</v>
      </c>
      <c r="AP34" s="70"/>
      <c r="AQ34" s="70"/>
      <c r="AR34" s="70"/>
      <c r="AS34" s="70"/>
      <c r="AT34" s="70"/>
      <c r="AU34" s="70"/>
      <c r="AV34" s="70"/>
      <c r="AW34" s="71"/>
      <c r="AX34" s="89"/>
      <c r="AY34" s="69" t="s">
        <v>114</v>
      </c>
      <c r="AZ34" s="70"/>
      <c r="BA34" s="70"/>
      <c r="BB34" s="70"/>
      <c r="BC34" s="70"/>
      <c r="BD34" s="70"/>
      <c r="BE34" s="70"/>
      <c r="BF34" s="70"/>
      <c r="BG34" s="71"/>
      <c r="BH34" s="85"/>
      <c r="BI34" s="69" t="s">
        <v>114</v>
      </c>
      <c r="BJ34" s="70"/>
      <c r="BK34" s="70"/>
      <c r="BL34" s="70"/>
      <c r="BM34" s="70"/>
      <c r="BN34" s="70"/>
      <c r="BO34" s="70"/>
      <c r="BP34" s="70"/>
      <c r="BQ34" s="71"/>
      <c r="BR34" s="85"/>
      <c r="BS34" s="69" t="s">
        <v>114</v>
      </c>
      <c r="BT34" s="70"/>
      <c r="BU34" s="70"/>
      <c r="BV34" s="70"/>
      <c r="BW34" s="70"/>
      <c r="BX34" s="70"/>
      <c r="BY34" s="70"/>
      <c r="BZ34" s="70"/>
      <c r="CA34" s="71"/>
      <c r="CB34" s="85"/>
      <c r="CC34" s="69" t="s">
        <v>114</v>
      </c>
      <c r="CD34" s="70"/>
      <c r="CE34" s="70"/>
      <c r="CF34" s="70"/>
      <c r="CG34" s="70"/>
      <c r="CH34" s="70"/>
      <c r="CI34" s="70"/>
      <c r="CJ34" s="70"/>
      <c r="CK34" s="71"/>
      <c r="CL34" s="85"/>
      <c r="CM34" s="69" t="s">
        <v>114</v>
      </c>
      <c r="CN34" s="70"/>
      <c r="CO34" s="70"/>
      <c r="CP34" s="70"/>
      <c r="CQ34" s="70"/>
      <c r="CR34" s="70"/>
      <c r="CS34" s="70"/>
      <c r="CT34" s="70"/>
      <c r="CU34" s="71"/>
    </row>
    <row r="35" spans="1:99" x14ac:dyDescent="0.3">
      <c r="B35" s="18">
        <v>313</v>
      </c>
      <c r="C35" s="18" t="s">
        <v>115</v>
      </c>
      <c r="D35" s="18">
        <v>120</v>
      </c>
      <c r="E35" s="14">
        <v>4.2</v>
      </c>
      <c r="F35" s="14">
        <v>2.5499999999999998</v>
      </c>
      <c r="G35" s="14">
        <v>25.9</v>
      </c>
      <c r="H35" s="14">
        <f t="shared" ref="H35:H39" si="41">G35*4+F35*9+E35*4</f>
        <v>143.35</v>
      </c>
      <c r="I35" s="14"/>
      <c r="J35" s="89"/>
      <c r="K35" s="24"/>
      <c r="L35" s="18">
        <v>22</v>
      </c>
      <c r="M35" s="18" t="s">
        <v>116</v>
      </c>
      <c r="N35" s="18">
        <v>60</v>
      </c>
      <c r="O35" s="21">
        <v>0.55000000000000004</v>
      </c>
      <c r="P35" s="21">
        <v>2.09</v>
      </c>
      <c r="Q35" s="21">
        <v>3.43</v>
      </c>
      <c r="R35" s="14">
        <f>Q35*4+P35*9+O35*4</f>
        <v>34.730000000000004</v>
      </c>
      <c r="S35" s="21">
        <v>4.8</v>
      </c>
      <c r="T35" s="89"/>
      <c r="U35" s="24"/>
      <c r="V35" s="18"/>
      <c r="W35" s="18" t="s">
        <v>117</v>
      </c>
      <c r="X35" s="18">
        <v>60</v>
      </c>
      <c r="Y35" s="14">
        <v>0.78</v>
      </c>
      <c r="Z35" s="14">
        <v>2.48</v>
      </c>
      <c r="AA35" s="14">
        <v>4.29</v>
      </c>
      <c r="AB35" s="14">
        <f>AA35*4+Z35*9+Y35*4</f>
        <v>42.6</v>
      </c>
      <c r="AC35" s="14">
        <v>2.62</v>
      </c>
      <c r="AD35" s="89"/>
      <c r="AE35" s="24"/>
      <c r="AF35" s="24">
        <v>40</v>
      </c>
      <c r="AG35" s="23" t="s">
        <v>118</v>
      </c>
      <c r="AH35" s="23">
        <v>60</v>
      </c>
      <c r="AI35" s="23">
        <v>0.77</v>
      </c>
      <c r="AJ35" s="23">
        <v>3.08</v>
      </c>
      <c r="AK35" s="23">
        <v>6.56</v>
      </c>
      <c r="AL35" s="14">
        <f t="shared" ref="AL35:AL40" si="42">AK35*4+AJ35*9+AI35*4</f>
        <v>57.039999999999992</v>
      </c>
      <c r="AM35" s="23">
        <v>3</v>
      </c>
      <c r="AN35" s="89"/>
      <c r="AO35" s="24"/>
      <c r="AP35" s="18">
        <v>34</v>
      </c>
      <c r="AQ35" s="18" t="s">
        <v>119</v>
      </c>
      <c r="AR35" s="18">
        <v>60</v>
      </c>
      <c r="AS35" s="14">
        <v>1</v>
      </c>
      <c r="AT35" s="14">
        <v>2.5099999999999998</v>
      </c>
      <c r="AU35" s="14">
        <v>4.92</v>
      </c>
      <c r="AV35" s="14">
        <f>AU35*4+AT35*9+AS35*4</f>
        <v>46.269999999999996</v>
      </c>
      <c r="AW35" s="14">
        <v>5.88</v>
      </c>
      <c r="AX35" s="89"/>
      <c r="AY35" s="24"/>
      <c r="AZ35" s="18">
        <v>76</v>
      </c>
      <c r="BA35" s="18" t="s">
        <v>120</v>
      </c>
      <c r="BB35" s="18">
        <v>55</v>
      </c>
      <c r="BC35" s="22">
        <v>2.69</v>
      </c>
      <c r="BD35" s="22">
        <v>6.27</v>
      </c>
      <c r="BE35" s="22">
        <v>0.91</v>
      </c>
      <c r="BF35" s="14">
        <f t="shared" ref="BF35:BF37" si="43">BE35*4+BD35*9+BC35*4</f>
        <v>70.83</v>
      </c>
      <c r="BG35" s="22"/>
      <c r="BH35" s="85"/>
      <c r="BI35" s="24"/>
      <c r="BJ35" s="24">
        <v>39</v>
      </c>
      <c r="BK35" s="23" t="s">
        <v>118</v>
      </c>
      <c r="BL35" s="23">
        <v>60</v>
      </c>
      <c r="BM35" s="29">
        <v>0.77</v>
      </c>
      <c r="BN35" s="29">
        <v>3.08</v>
      </c>
      <c r="BO35" s="29">
        <v>6.56</v>
      </c>
      <c r="BP35" s="14">
        <f>BO35*4+BN35*9+BM35*4</f>
        <v>57.039999999999992</v>
      </c>
      <c r="BQ35" s="29">
        <v>3</v>
      </c>
      <c r="BR35" s="85"/>
      <c r="BS35" s="24"/>
      <c r="BT35" s="18">
        <v>22</v>
      </c>
      <c r="BU35" s="25" t="s">
        <v>121</v>
      </c>
      <c r="BV35" s="25">
        <v>60</v>
      </c>
      <c r="BW35" s="14">
        <v>1.0900000000000001</v>
      </c>
      <c r="BX35" s="14">
        <v>4.17</v>
      </c>
      <c r="BY35" s="14">
        <v>6.86</v>
      </c>
      <c r="BZ35" s="14">
        <f t="shared" ref="BZ35:BZ40" si="44">BY35*4+BX35*9+BW35*4</f>
        <v>69.33</v>
      </c>
      <c r="CA35" s="14">
        <v>9.6</v>
      </c>
      <c r="CB35" s="85"/>
      <c r="CC35" s="24"/>
      <c r="CD35" s="18"/>
      <c r="CE35" s="18" t="s">
        <v>122</v>
      </c>
      <c r="CF35" s="18">
        <v>50</v>
      </c>
      <c r="CG35" s="14">
        <v>0.67</v>
      </c>
      <c r="CH35" s="14">
        <v>3.1</v>
      </c>
      <c r="CI35" s="14">
        <v>6.86</v>
      </c>
      <c r="CJ35" s="14">
        <f>CI35*4+CH35*9+CG35*4</f>
        <v>58.02</v>
      </c>
      <c r="CK35" s="14">
        <v>0.2</v>
      </c>
      <c r="CL35" s="85"/>
      <c r="CM35" s="24"/>
      <c r="CN35" s="18" t="s">
        <v>73</v>
      </c>
      <c r="CO35" s="18" t="s">
        <v>74</v>
      </c>
      <c r="CP35" s="18">
        <v>50</v>
      </c>
      <c r="CQ35" s="14">
        <v>0.67</v>
      </c>
      <c r="CR35" s="14">
        <v>3.8</v>
      </c>
      <c r="CS35" s="14">
        <v>3.84</v>
      </c>
      <c r="CT35" s="14">
        <v>35.18</v>
      </c>
      <c r="CU35" s="14">
        <v>6.62</v>
      </c>
    </row>
    <row r="36" spans="1:99" x14ac:dyDescent="0.3">
      <c r="A36" s="11"/>
      <c r="B36" s="18">
        <v>437</v>
      </c>
      <c r="C36" s="18" t="s">
        <v>123</v>
      </c>
      <c r="D36" s="18">
        <v>80</v>
      </c>
      <c r="E36" s="14">
        <v>14.2</v>
      </c>
      <c r="F36" s="14">
        <v>13.6</v>
      </c>
      <c r="G36" s="14">
        <v>1.6</v>
      </c>
      <c r="H36" s="14">
        <f t="shared" si="41"/>
        <v>185.59999999999997</v>
      </c>
      <c r="I36" s="21"/>
      <c r="J36" s="89"/>
      <c r="K36" s="10"/>
      <c r="L36" s="18"/>
      <c r="M36" s="18" t="s">
        <v>124</v>
      </c>
      <c r="N36" s="18">
        <v>150</v>
      </c>
      <c r="O36" s="14">
        <v>13.07</v>
      </c>
      <c r="P36" s="14">
        <v>4.37</v>
      </c>
      <c r="Q36" s="14">
        <v>2.57</v>
      </c>
      <c r="R36" s="14">
        <f t="shared" ref="R36:R39" si="45">Q36*4+P36*9+O36*4</f>
        <v>101.89</v>
      </c>
      <c r="S36" s="14">
        <v>0.17</v>
      </c>
      <c r="T36" s="89"/>
      <c r="U36" s="24"/>
      <c r="V36" s="18"/>
      <c r="W36" s="18" t="s">
        <v>125</v>
      </c>
      <c r="X36" s="18">
        <v>80</v>
      </c>
      <c r="Y36" s="14">
        <v>9.57</v>
      </c>
      <c r="Z36" s="14">
        <v>3.72</v>
      </c>
      <c r="AA36" s="14">
        <v>9.68</v>
      </c>
      <c r="AB36" s="14">
        <f t="shared" ref="AB36:AB41" si="46">AA36*4+Z36*9+Y36*4</f>
        <v>110.48</v>
      </c>
      <c r="AC36" s="14">
        <v>0.12</v>
      </c>
      <c r="AD36" s="89"/>
      <c r="AE36" s="10"/>
      <c r="AF36" s="18">
        <v>238</v>
      </c>
      <c r="AG36" s="18" t="s">
        <v>126</v>
      </c>
      <c r="AH36" s="18">
        <v>150</v>
      </c>
      <c r="AI36" s="14">
        <f>11.66*180/100</f>
        <v>20.988000000000003</v>
      </c>
      <c r="AJ36" s="14">
        <f>10.29*180/100</f>
        <v>18.521999999999998</v>
      </c>
      <c r="AK36" s="14">
        <f>23.78*180/100</f>
        <v>42.804000000000002</v>
      </c>
      <c r="AL36" s="14">
        <f t="shared" si="42"/>
        <v>421.86599999999999</v>
      </c>
      <c r="AM36" s="14">
        <f>0.71*180/100</f>
        <v>1.278</v>
      </c>
      <c r="AN36" s="89"/>
      <c r="AO36" s="10"/>
      <c r="AP36" s="18">
        <v>291</v>
      </c>
      <c r="AQ36" s="18" t="s">
        <v>127</v>
      </c>
      <c r="AR36" s="18">
        <v>160</v>
      </c>
      <c r="AS36" s="14">
        <v>12.13</v>
      </c>
      <c r="AT36" s="14">
        <v>9.5</v>
      </c>
      <c r="AU36" s="14">
        <v>10.220000000000001</v>
      </c>
      <c r="AV36" s="14">
        <f t="shared" ref="AV36:AV40" si="47">AU36*4+AT36*9+AS36*4</f>
        <v>174.9</v>
      </c>
      <c r="AW36" s="14">
        <v>9.3000000000000007</v>
      </c>
      <c r="AX36" s="89"/>
      <c r="AY36" s="24"/>
      <c r="AZ36" s="18">
        <v>321</v>
      </c>
      <c r="BA36" s="18" t="s">
        <v>105</v>
      </c>
      <c r="BB36" s="18">
        <v>100</v>
      </c>
      <c r="BC36" s="14">
        <f>20.43*100/1000</f>
        <v>2.0430000000000001</v>
      </c>
      <c r="BD36" s="14">
        <f>32.01*100/1000</f>
        <v>3.2010000000000001</v>
      </c>
      <c r="BE36" s="14">
        <f>136.26*100/1000</f>
        <v>13.625999999999999</v>
      </c>
      <c r="BF36" s="14">
        <f t="shared" si="43"/>
        <v>91.484999999999999</v>
      </c>
      <c r="BG36" s="14">
        <f>121.07*100/1000</f>
        <v>12.106999999999999</v>
      </c>
      <c r="BH36" s="85"/>
      <c r="BI36" s="24"/>
      <c r="BJ36" s="18">
        <v>236</v>
      </c>
      <c r="BK36" s="19" t="s">
        <v>128</v>
      </c>
      <c r="BL36" s="63">
        <v>130</v>
      </c>
      <c r="BM36" s="21">
        <v>19.68</v>
      </c>
      <c r="BN36" s="21">
        <v>13.99</v>
      </c>
      <c r="BO36" s="21">
        <v>31.63</v>
      </c>
      <c r="BP36" s="14">
        <f t="shared" ref="BP36:BP39" si="48">BO36*4+BN36*9+BM36*4</f>
        <v>331.15</v>
      </c>
      <c r="BQ36" s="21">
        <v>0.34</v>
      </c>
      <c r="BR36" s="85"/>
      <c r="BS36" s="24"/>
      <c r="BT36" s="18"/>
      <c r="BU36" s="18" t="s">
        <v>129</v>
      </c>
      <c r="BV36" s="18">
        <v>80</v>
      </c>
      <c r="BW36" s="14">
        <f>8.14*80/120</f>
        <v>5.4266666666666667</v>
      </c>
      <c r="BX36" s="14">
        <f>9.04*80/120</f>
        <v>6.0266666666666664</v>
      </c>
      <c r="BY36" s="14">
        <f>10.3*80/120</f>
        <v>6.8666666666666663</v>
      </c>
      <c r="BZ36" s="14">
        <f t="shared" si="44"/>
        <v>103.41333333333333</v>
      </c>
      <c r="CA36" s="14">
        <f>0.45*80/120</f>
        <v>0.3</v>
      </c>
      <c r="CB36" s="85"/>
      <c r="CC36" s="24"/>
      <c r="CD36" s="18"/>
      <c r="CE36" s="64" t="s">
        <v>130</v>
      </c>
      <c r="CF36" s="18">
        <v>60</v>
      </c>
      <c r="CG36" s="14">
        <f>10.14*80/120</f>
        <v>6.7600000000000007</v>
      </c>
      <c r="CH36" s="14">
        <f>11.04*80/120</f>
        <v>7.3599999999999994</v>
      </c>
      <c r="CI36" s="14">
        <f>9.3*80/120</f>
        <v>6.2</v>
      </c>
      <c r="CJ36" s="14">
        <f t="shared" ref="CJ36:CJ40" si="49">CI36*4+CH36*9+CG36*4</f>
        <v>118.08</v>
      </c>
      <c r="CK36" s="14"/>
      <c r="CL36" s="85"/>
      <c r="CM36" s="10"/>
      <c r="CN36" s="18"/>
      <c r="CO36" s="19" t="s">
        <v>131</v>
      </c>
      <c r="CP36" s="19">
        <v>80</v>
      </c>
      <c r="CQ36" s="14">
        <v>10.91</v>
      </c>
      <c r="CR36" s="14">
        <v>3.34</v>
      </c>
      <c r="CS36" s="14">
        <v>4.45</v>
      </c>
      <c r="CT36" s="14">
        <f t="shared" ref="CT36:CT40" si="50">CS36*4+CR36*9+CQ36*4</f>
        <v>91.5</v>
      </c>
      <c r="CU36" s="14">
        <v>0.28999999999999998</v>
      </c>
    </row>
    <row r="37" spans="1:99" x14ac:dyDescent="0.3">
      <c r="B37" s="18">
        <v>368</v>
      </c>
      <c r="C37" s="18" t="s">
        <v>52</v>
      </c>
      <c r="D37" s="18">
        <v>100</v>
      </c>
      <c r="E37" s="14">
        <v>0.4</v>
      </c>
      <c r="F37" s="14">
        <v>0.4</v>
      </c>
      <c r="G37" s="14">
        <v>9.8000000000000007</v>
      </c>
      <c r="H37" s="14">
        <f t="shared" si="41"/>
        <v>44.400000000000006</v>
      </c>
      <c r="I37" s="14">
        <v>10</v>
      </c>
      <c r="J37" s="89"/>
      <c r="K37" s="24"/>
      <c r="L37" s="18">
        <v>394</v>
      </c>
      <c r="M37" s="18" t="s">
        <v>40</v>
      </c>
      <c r="N37" s="18">
        <v>180</v>
      </c>
      <c r="O37" s="14">
        <v>2.67</v>
      </c>
      <c r="P37" s="14">
        <v>2.34</v>
      </c>
      <c r="Q37" s="14">
        <v>14.31</v>
      </c>
      <c r="R37" s="14">
        <f t="shared" si="45"/>
        <v>88.97999999999999</v>
      </c>
      <c r="S37" s="22">
        <v>1.2</v>
      </c>
      <c r="T37" s="89"/>
      <c r="U37" s="24"/>
      <c r="V37" s="18">
        <v>319</v>
      </c>
      <c r="W37" s="18" t="s">
        <v>132</v>
      </c>
      <c r="X37" s="18">
        <v>120</v>
      </c>
      <c r="Y37" s="14">
        <v>2.81</v>
      </c>
      <c r="Z37" s="14">
        <v>2.98</v>
      </c>
      <c r="AA37" s="14">
        <v>15.79</v>
      </c>
      <c r="AB37" s="14">
        <f t="shared" si="46"/>
        <v>101.21999999999998</v>
      </c>
      <c r="AC37" s="14">
        <v>12.93</v>
      </c>
      <c r="AD37" s="89"/>
      <c r="AE37" s="24"/>
      <c r="AF37" s="18">
        <v>362</v>
      </c>
      <c r="AG37" s="18" t="s">
        <v>133</v>
      </c>
      <c r="AH37" s="18">
        <v>30</v>
      </c>
      <c r="AI37" s="22">
        <v>0.14000000000000001</v>
      </c>
      <c r="AJ37" s="22">
        <v>0.02</v>
      </c>
      <c r="AK37" s="22">
        <v>19.399999999999999</v>
      </c>
      <c r="AL37" s="14">
        <f t="shared" si="42"/>
        <v>78.34</v>
      </c>
      <c r="AM37" s="22">
        <v>0.62</v>
      </c>
      <c r="AN37" s="89"/>
      <c r="AO37" s="24"/>
      <c r="AP37" s="18" t="s">
        <v>63</v>
      </c>
      <c r="AQ37" s="18" t="s">
        <v>38</v>
      </c>
      <c r="AR37" s="18">
        <v>15</v>
      </c>
      <c r="AS37" s="14">
        <v>0.25</v>
      </c>
      <c r="AT37" s="14">
        <v>2</v>
      </c>
      <c r="AU37" s="14">
        <v>0.32</v>
      </c>
      <c r="AV37" s="14">
        <f t="shared" si="47"/>
        <v>20.28</v>
      </c>
      <c r="AW37" s="14"/>
      <c r="AX37" s="89"/>
      <c r="AY37" s="24"/>
      <c r="AZ37" s="18">
        <v>496</v>
      </c>
      <c r="BA37" s="19" t="s">
        <v>134</v>
      </c>
      <c r="BB37" s="19">
        <v>37</v>
      </c>
      <c r="BC37" s="21">
        <v>2.39</v>
      </c>
      <c r="BD37" s="21">
        <v>4.42</v>
      </c>
      <c r="BE37" s="21">
        <v>19.02</v>
      </c>
      <c r="BF37" s="14">
        <f t="shared" si="43"/>
        <v>125.42</v>
      </c>
      <c r="BG37" s="21"/>
      <c r="BH37" s="85"/>
      <c r="BI37" s="24"/>
      <c r="BJ37" s="18">
        <v>262</v>
      </c>
      <c r="BK37" s="19" t="s">
        <v>133</v>
      </c>
      <c r="BL37" s="63">
        <v>30</v>
      </c>
      <c r="BM37" s="14">
        <f>19.43*60/1000</f>
        <v>1.1657999999999999</v>
      </c>
      <c r="BN37" s="14">
        <f>45.19*60/1000</f>
        <v>2.7113999999999998</v>
      </c>
      <c r="BO37" s="14">
        <f>132.55*60/1000</f>
        <v>7.9530000000000012</v>
      </c>
      <c r="BP37" s="14">
        <f t="shared" si="48"/>
        <v>60.877800000000008</v>
      </c>
      <c r="BQ37" s="14">
        <f>3.25*60/1000</f>
        <v>0.19500000000000001</v>
      </c>
      <c r="BR37" s="85"/>
      <c r="BS37" s="24"/>
      <c r="BT37" s="18">
        <v>332</v>
      </c>
      <c r="BU37" s="18" t="s">
        <v>135</v>
      </c>
      <c r="BV37" s="18">
        <v>150</v>
      </c>
      <c r="BW37" s="14">
        <v>2.77</v>
      </c>
      <c r="BX37" s="14">
        <v>4.84</v>
      </c>
      <c r="BY37" s="14">
        <v>10.79</v>
      </c>
      <c r="BZ37" s="14">
        <f t="shared" si="44"/>
        <v>97.8</v>
      </c>
      <c r="CA37" s="14">
        <v>10.26</v>
      </c>
      <c r="CB37" s="85"/>
      <c r="CC37" s="24"/>
      <c r="CD37" s="18">
        <v>313</v>
      </c>
      <c r="CE37" s="18" t="s">
        <v>115</v>
      </c>
      <c r="CF37" s="18">
        <v>120</v>
      </c>
      <c r="CG37" s="14">
        <f>17.08*120/1000</f>
        <v>2.0495999999999999</v>
      </c>
      <c r="CH37" s="14">
        <f>27.8*120/1000</f>
        <v>3.3359999999999999</v>
      </c>
      <c r="CI37" s="14">
        <f>117.15*120/1000</f>
        <v>14.058</v>
      </c>
      <c r="CJ37" s="14">
        <f t="shared" si="49"/>
        <v>94.454399999999993</v>
      </c>
      <c r="CK37" s="14"/>
      <c r="CL37" s="85"/>
      <c r="CM37" s="24"/>
      <c r="CN37" s="18">
        <v>322</v>
      </c>
      <c r="CO37" s="18" t="s">
        <v>106</v>
      </c>
      <c r="CP37" s="18">
        <v>100</v>
      </c>
      <c r="CQ37" s="14">
        <v>1.91</v>
      </c>
      <c r="CR37" s="14">
        <v>3.08</v>
      </c>
      <c r="CS37" s="14">
        <v>12.01</v>
      </c>
      <c r="CT37" s="14">
        <v>83.4</v>
      </c>
      <c r="CU37" s="14">
        <v>10.5</v>
      </c>
    </row>
    <row r="38" spans="1:99" x14ac:dyDescent="0.3">
      <c r="B38" s="18">
        <v>400</v>
      </c>
      <c r="C38" s="18" t="s">
        <v>136</v>
      </c>
      <c r="D38" s="65">
        <v>200</v>
      </c>
      <c r="E38" s="14">
        <f>5.48*200/180</f>
        <v>6.0888888888888886</v>
      </c>
      <c r="F38" s="14">
        <f>4.88*200/180</f>
        <v>5.4222222222222225</v>
      </c>
      <c r="G38" s="14">
        <f>9.07*200/180</f>
        <v>10.077777777777778</v>
      </c>
      <c r="H38" s="14">
        <f t="shared" si="41"/>
        <v>113.46666666666667</v>
      </c>
      <c r="I38" s="14">
        <f>2.46*200/180</f>
        <v>2.7333333333333334</v>
      </c>
      <c r="J38" s="89"/>
      <c r="K38" s="24"/>
      <c r="L38" s="17">
        <v>489</v>
      </c>
      <c r="M38" s="17" t="s">
        <v>137</v>
      </c>
      <c r="N38" s="17">
        <v>37</v>
      </c>
      <c r="O38" s="14">
        <f>4.36*37/75</f>
        <v>2.1509333333333336</v>
      </c>
      <c r="P38" s="14">
        <f>13.69*37/75</f>
        <v>6.7537333333333329</v>
      </c>
      <c r="Q38" s="14">
        <f>37.51*37/75</f>
        <v>18.50493333333333</v>
      </c>
      <c r="R38" s="14">
        <f t="shared" si="45"/>
        <v>143.40706666666665</v>
      </c>
      <c r="S38" s="14">
        <f>0.22*37/75</f>
        <v>0.10853333333333334</v>
      </c>
      <c r="T38" s="89"/>
      <c r="U38" s="24"/>
      <c r="V38" s="18">
        <v>454</v>
      </c>
      <c r="W38" s="18" t="s">
        <v>138</v>
      </c>
      <c r="X38" s="18">
        <v>35</v>
      </c>
      <c r="Y38" s="14">
        <v>4.41</v>
      </c>
      <c r="Z38" s="14">
        <v>1.99</v>
      </c>
      <c r="AA38" s="14">
        <v>12.7</v>
      </c>
      <c r="AB38" s="14">
        <f t="shared" si="46"/>
        <v>86.35</v>
      </c>
      <c r="AC38" s="14">
        <v>3.5000000000000003E-2</v>
      </c>
      <c r="AD38" s="89"/>
      <c r="AE38" s="24"/>
      <c r="AF38" s="18">
        <v>400</v>
      </c>
      <c r="AG38" s="18" t="s">
        <v>136</v>
      </c>
      <c r="AH38" s="18">
        <v>200</v>
      </c>
      <c r="AI38" s="21">
        <v>6.09</v>
      </c>
      <c r="AJ38" s="21">
        <v>5.42</v>
      </c>
      <c r="AK38" s="21">
        <v>10.07</v>
      </c>
      <c r="AL38" s="14">
        <v>113.42</v>
      </c>
      <c r="AM38" s="21">
        <v>2.73</v>
      </c>
      <c r="AN38" s="89"/>
      <c r="AO38" s="24"/>
      <c r="AP38" s="18">
        <v>460</v>
      </c>
      <c r="AQ38" s="18" t="s">
        <v>139</v>
      </c>
      <c r="AR38" s="18">
        <v>40</v>
      </c>
      <c r="AS38" s="14">
        <f>3.54*40/50</f>
        <v>2.8319999999999999</v>
      </c>
      <c r="AT38" s="14">
        <f>6.57*40/50</f>
        <v>5.2560000000000002</v>
      </c>
      <c r="AU38" s="14">
        <f>27.87*40/50</f>
        <v>22.295999999999999</v>
      </c>
      <c r="AV38" s="14">
        <f t="shared" si="47"/>
        <v>147.816</v>
      </c>
      <c r="AW38" s="14"/>
      <c r="AX38" s="89"/>
      <c r="AY38" s="24"/>
      <c r="AZ38" s="18">
        <v>395</v>
      </c>
      <c r="BA38" s="18" t="s">
        <v>140</v>
      </c>
      <c r="BB38" s="18">
        <v>180</v>
      </c>
      <c r="BC38" s="14">
        <f>2.15*180/150</f>
        <v>2.58</v>
      </c>
      <c r="BD38" s="14">
        <f>1.46*180/150</f>
        <v>1.752</v>
      </c>
      <c r="BE38" s="14">
        <f>15.5*180/150</f>
        <v>18.600000000000001</v>
      </c>
      <c r="BF38" s="14">
        <f>BE38*4+BD38*9+BC38*4</f>
        <v>100.488</v>
      </c>
      <c r="BG38" s="14">
        <f>0.28*180/150</f>
        <v>0.33600000000000002</v>
      </c>
      <c r="BH38" s="85"/>
      <c r="BI38" s="24"/>
      <c r="BJ38" s="18">
        <v>400</v>
      </c>
      <c r="BK38" s="18" t="s">
        <v>136</v>
      </c>
      <c r="BL38" s="65">
        <v>200</v>
      </c>
      <c r="BM38" s="14">
        <f>5.48*200/180</f>
        <v>6.0888888888888886</v>
      </c>
      <c r="BN38" s="14">
        <f>4.88*200/180</f>
        <v>5.4222222222222225</v>
      </c>
      <c r="BO38" s="14">
        <f>9.07*200/180</f>
        <v>10.077777777777778</v>
      </c>
      <c r="BP38" s="14">
        <f t="shared" si="48"/>
        <v>113.46666666666667</v>
      </c>
      <c r="BQ38" s="14">
        <f>2.46*200/180</f>
        <v>2.7333333333333334</v>
      </c>
      <c r="BR38" s="85"/>
      <c r="BS38" s="24"/>
      <c r="BT38" s="18">
        <v>401</v>
      </c>
      <c r="BU38" s="18" t="s">
        <v>61</v>
      </c>
      <c r="BV38" s="18">
        <v>200</v>
      </c>
      <c r="BW38" s="21">
        <v>5.4</v>
      </c>
      <c r="BX38" s="21">
        <v>1.8</v>
      </c>
      <c r="BY38" s="21">
        <v>7.2</v>
      </c>
      <c r="BZ38" s="14">
        <f t="shared" si="44"/>
        <v>66.599999999999994</v>
      </c>
      <c r="CA38" s="21">
        <v>1.44</v>
      </c>
      <c r="CB38" s="85"/>
      <c r="CC38" s="24"/>
      <c r="CD38" s="18">
        <v>401</v>
      </c>
      <c r="CE38" s="18" t="s">
        <v>61</v>
      </c>
      <c r="CF38" s="18">
        <v>200</v>
      </c>
      <c r="CG38" s="21">
        <v>5.4</v>
      </c>
      <c r="CH38" s="21">
        <v>1.8</v>
      </c>
      <c r="CI38" s="21">
        <v>7.2</v>
      </c>
      <c r="CJ38" s="14">
        <f t="shared" si="49"/>
        <v>66.599999999999994</v>
      </c>
      <c r="CK38" s="21">
        <v>1.44</v>
      </c>
      <c r="CL38" s="85"/>
      <c r="CM38" s="24"/>
      <c r="CN38" s="18">
        <v>476</v>
      </c>
      <c r="CO38" s="18" t="s">
        <v>141</v>
      </c>
      <c r="CP38" s="18">
        <v>30</v>
      </c>
      <c r="CQ38" s="14">
        <v>2.4</v>
      </c>
      <c r="CR38" s="14">
        <v>0.84</v>
      </c>
      <c r="CS38" s="14">
        <v>15.12</v>
      </c>
      <c r="CT38" s="14">
        <f>CS38*4+CR38*9+CQ38*4</f>
        <v>77.639999999999986</v>
      </c>
      <c r="CU38" s="14">
        <v>0.09</v>
      </c>
    </row>
    <row r="39" spans="1:99" x14ac:dyDescent="0.3">
      <c r="B39" s="18">
        <v>478</v>
      </c>
      <c r="C39" s="18" t="s">
        <v>142</v>
      </c>
      <c r="D39" s="53">
        <v>30</v>
      </c>
      <c r="E39" s="21">
        <v>2.0099999999999998</v>
      </c>
      <c r="F39" s="21">
        <v>2.99</v>
      </c>
      <c r="G39" s="21">
        <v>14.65</v>
      </c>
      <c r="H39" s="14">
        <f t="shared" si="41"/>
        <v>93.550000000000011</v>
      </c>
      <c r="I39" s="21">
        <v>0.03</v>
      </c>
      <c r="J39" s="89"/>
      <c r="K39" s="24"/>
      <c r="L39" s="18"/>
      <c r="M39" s="18" t="s">
        <v>49</v>
      </c>
      <c r="N39" s="53">
        <v>30</v>
      </c>
      <c r="O39" s="14">
        <v>2.37</v>
      </c>
      <c r="P39" s="14">
        <v>0.3</v>
      </c>
      <c r="Q39" s="14">
        <v>14.49</v>
      </c>
      <c r="R39" s="14">
        <f t="shared" si="45"/>
        <v>70.14</v>
      </c>
      <c r="S39" s="14"/>
      <c r="T39" s="89"/>
      <c r="U39" s="24"/>
      <c r="V39" s="28">
        <v>394</v>
      </c>
      <c r="W39" s="18" t="s">
        <v>40</v>
      </c>
      <c r="X39" s="18">
        <v>180</v>
      </c>
      <c r="Y39" s="14">
        <v>2.67</v>
      </c>
      <c r="Z39" s="14">
        <v>2.34</v>
      </c>
      <c r="AA39" s="14">
        <v>14.31</v>
      </c>
      <c r="AB39" s="14">
        <f t="shared" si="46"/>
        <v>88.97999999999999</v>
      </c>
      <c r="AC39" s="22">
        <v>1.2</v>
      </c>
      <c r="AD39" s="89"/>
      <c r="AE39" s="24"/>
      <c r="AF39" s="18">
        <v>454</v>
      </c>
      <c r="AG39" s="18" t="s">
        <v>143</v>
      </c>
      <c r="AH39" s="18">
        <v>35</v>
      </c>
      <c r="AI39" s="22">
        <v>4.41</v>
      </c>
      <c r="AJ39" s="22">
        <v>1.9950000000000001</v>
      </c>
      <c r="AK39" s="26">
        <v>12.71</v>
      </c>
      <c r="AL39" s="14">
        <f>AK39*4+AJ39*9+AI39*4</f>
        <v>86.435000000000002</v>
      </c>
      <c r="AM39" s="22">
        <v>3.5000000000000003E-2</v>
      </c>
      <c r="AN39" s="89"/>
      <c r="AO39" s="24"/>
      <c r="AP39" s="18">
        <v>401</v>
      </c>
      <c r="AQ39" s="18" t="s">
        <v>61</v>
      </c>
      <c r="AR39" s="18">
        <v>200</v>
      </c>
      <c r="AS39" s="22">
        <v>5.22</v>
      </c>
      <c r="AT39" s="22">
        <v>4.5</v>
      </c>
      <c r="AU39" s="26">
        <v>7.56</v>
      </c>
      <c r="AV39" s="14">
        <f t="shared" si="47"/>
        <v>91.61999999999999</v>
      </c>
      <c r="AW39" s="22">
        <v>0.54</v>
      </c>
      <c r="AX39" s="89"/>
      <c r="AY39" s="24"/>
      <c r="BA39" s="18" t="s">
        <v>54</v>
      </c>
      <c r="BB39" s="18">
        <v>25</v>
      </c>
      <c r="BC39" s="14">
        <v>1.65</v>
      </c>
      <c r="BD39" s="14">
        <v>0.18</v>
      </c>
      <c r="BE39" s="14">
        <v>8.5299999999999994</v>
      </c>
      <c r="BF39" s="14">
        <f t="shared" ref="BF39:BF40" si="51">BE39*4+BD39*9+BC39*4</f>
        <v>42.339999999999996</v>
      </c>
      <c r="BG39" s="14"/>
      <c r="BH39" s="85"/>
      <c r="BI39" s="24"/>
      <c r="BJ39" s="18"/>
      <c r="BK39" s="18" t="s">
        <v>49</v>
      </c>
      <c r="BL39" s="18">
        <v>20</v>
      </c>
      <c r="BM39" s="14">
        <f>7.9*20/100</f>
        <v>1.58</v>
      </c>
      <c r="BN39" s="14">
        <f>1*20/100</f>
        <v>0.2</v>
      </c>
      <c r="BO39" s="14">
        <f>48.3*20/100</f>
        <v>9.66</v>
      </c>
      <c r="BP39" s="14">
        <f t="shared" si="48"/>
        <v>46.76</v>
      </c>
      <c r="BQ39" s="14"/>
      <c r="BR39" s="85"/>
      <c r="BS39" s="24"/>
      <c r="BT39" s="18"/>
      <c r="BU39" s="18" t="s">
        <v>49</v>
      </c>
      <c r="BV39" s="18">
        <v>30</v>
      </c>
      <c r="BW39" s="14">
        <v>2.37</v>
      </c>
      <c r="BX39" s="14">
        <v>0.3</v>
      </c>
      <c r="BY39" s="14">
        <v>14.49</v>
      </c>
      <c r="BZ39" s="14">
        <f t="shared" si="44"/>
        <v>70.14</v>
      </c>
      <c r="CA39" s="14"/>
      <c r="CB39" s="85"/>
      <c r="CC39" s="24"/>
      <c r="CD39" s="18">
        <v>458</v>
      </c>
      <c r="CE39" s="19" t="s">
        <v>144</v>
      </c>
      <c r="CF39" s="19">
        <v>35</v>
      </c>
      <c r="CG39" s="14">
        <v>2.23</v>
      </c>
      <c r="CH39" s="14">
        <v>1.49</v>
      </c>
      <c r="CI39" s="14">
        <v>22.06</v>
      </c>
      <c r="CJ39" s="14">
        <f>CI39*4+CH39*9+CG39*4</f>
        <v>110.57</v>
      </c>
      <c r="CK39" s="14">
        <v>0.04</v>
      </c>
      <c r="CL39" s="85"/>
      <c r="CM39" s="24"/>
      <c r="CN39" s="18">
        <v>401</v>
      </c>
      <c r="CO39" s="19" t="s">
        <v>61</v>
      </c>
      <c r="CP39" s="19">
        <v>200</v>
      </c>
      <c r="CQ39" s="21">
        <v>5.22</v>
      </c>
      <c r="CR39" s="21">
        <v>4.5</v>
      </c>
      <c r="CS39" s="21">
        <v>7.2</v>
      </c>
      <c r="CT39" s="14">
        <f t="shared" si="50"/>
        <v>90.179999999999993</v>
      </c>
      <c r="CU39" s="21">
        <v>1.26</v>
      </c>
    </row>
    <row r="40" spans="1:99" x14ac:dyDescent="0.3">
      <c r="J40" s="89"/>
      <c r="K40" s="24"/>
      <c r="O40" s="29"/>
      <c r="P40" s="29"/>
      <c r="Q40" s="29"/>
      <c r="R40" s="29"/>
      <c r="S40" s="30"/>
      <c r="T40" s="89"/>
      <c r="U40" s="24"/>
      <c r="V40" s="18"/>
      <c r="W40" s="18" t="s">
        <v>49</v>
      </c>
      <c r="X40" s="18">
        <v>30</v>
      </c>
      <c r="Y40" s="14">
        <v>2.37</v>
      </c>
      <c r="Z40" s="14">
        <v>0.3</v>
      </c>
      <c r="AA40" s="14">
        <v>14.49</v>
      </c>
      <c r="AB40" s="14">
        <f t="shared" si="46"/>
        <v>70.14</v>
      </c>
      <c r="AC40" s="14"/>
      <c r="AD40" s="89"/>
      <c r="AE40" s="24"/>
      <c r="AF40" s="18"/>
      <c r="AG40" s="18" t="s">
        <v>49</v>
      </c>
      <c r="AH40" s="18">
        <v>30</v>
      </c>
      <c r="AI40" s="14">
        <v>2.37</v>
      </c>
      <c r="AJ40" s="14">
        <v>0.3</v>
      </c>
      <c r="AK40" s="14">
        <v>14.49</v>
      </c>
      <c r="AL40" s="14">
        <f t="shared" si="42"/>
        <v>70.14</v>
      </c>
      <c r="AM40" s="22"/>
      <c r="AN40" s="89"/>
      <c r="AO40" s="24"/>
      <c r="AP40" s="18"/>
      <c r="AQ40" s="18" t="s">
        <v>49</v>
      </c>
      <c r="AR40" s="18">
        <v>40</v>
      </c>
      <c r="AS40" s="14">
        <v>3.16</v>
      </c>
      <c r="AT40" s="14">
        <v>0.4</v>
      </c>
      <c r="AU40" s="14">
        <v>19.3</v>
      </c>
      <c r="AV40" s="14">
        <f t="shared" si="47"/>
        <v>93.44</v>
      </c>
      <c r="AW40" s="14"/>
      <c r="AX40" s="89"/>
      <c r="AY40" s="24"/>
      <c r="AZ40" s="18">
        <v>368</v>
      </c>
      <c r="BA40" s="18" t="s">
        <v>52</v>
      </c>
      <c r="BB40" s="18">
        <v>100</v>
      </c>
      <c r="BC40" s="14">
        <v>0.4</v>
      </c>
      <c r="BD40" s="14">
        <v>0.4</v>
      </c>
      <c r="BE40" s="14">
        <v>9.8000000000000007</v>
      </c>
      <c r="BF40" s="14">
        <f t="shared" si="51"/>
        <v>44.400000000000006</v>
      </c>
      <c r="BG40" s="14">
        <v>10</v>
      </c>
      <c r="BH40" s="85"/>
      <c r="BI40" s="24"/>
      <c r="BJ40" s="18"/>
      <c r="BK40" s="19"/>
      <c r="BL40" s="63"/>
      <c r="BM40" s="14"/>
      <c r="BN40" s="14"/>
      <c r="BO40" s="14"/>
      <c r="BP40" s="14"/>
      <c r="BQ40" s="14"/>
      <c r="BR40" s="85"/>
      <c r="BS40" s="24"/>
      <c r="BT40" s="18" t="s">
        <v>145</v>
      </c>
      <c r="BU40" s="18" t="s">
        <v>146</v>
      </c>
      <c r="BV40" s="18">
        <v>25</v>
      </c>
      <c r="BW40" s="14">
        <v>2.2000000000000002</v>
      </c>
      <c r="BX40" s="14">
        <v>0.81</v>
      </c>
      <c r="BY40" s="14">
        <v>15.97</v>
      </c>
      <c r="BZ40" s="14">
        <f t="shared" si="44"/>
        <v>79.97</v>
      </c>
      <c r="CA40" s="14"/>
      <c r="CB40" s="85"/>
      <c r="CC40" s="24"/>
      <c r="CD40" s="18"/>
      <c r="CE40" s="18" t="s">
        <v>49</v>
      </c>
      <c r="CF40" s="18">
        <v>30</v>
      </c>
      <c r="CG40" s="14">
        <v>2.37</v>
      </c>
      <c r="CH40" s="14">
        <v>0.3</v>
      </c>
      <c r="CI40" s="14">
        <v>14.49</v>
      </c>
      <c r="CJ40" s="14">
        <f t="shared" si="49"/>
        <v>70.14</v>
      </c>
      <c r="CK40" s="14"/>
      <c r="CL40" s="85"/>
      <c r="CM40" s="24"/>
      <c r="CN40" s="18"/>
      <c r="CO40" s="19" t="s">
        <v>49</v>
      </c>
      <c r="CP40" s="19">
        <v>30</v>
      </c>
      <c r="CQ40" s="14">
        <v>2.37</v>
      </c>
      <c r="CR40" s="14">
        <v>0.3</v>
      </c>
      <c r="CS40" s="14">
        <v>14.49</v>
      </c>
      <c r="CT40" s="14">
        <f t="shared" si="50"/>
        <v>70.14</v>
      </c>
      <c r="CU40" s="14"/>
    </row>
    <row r="41" spans="1:99" x14ac:dyDescent="0.3">
      <c r="J41" s="89"/>
      <c r="K41" s="24"/>
      <c r="T41" s="89"/>
      <c r="U41" s="24"/>
      <c r="W41" s="23" t="s">
        <v>52</v>
      </c>
      <c r="X41" s="23">
        <v>50</v>
      </c>
      <c r="Y41" s="29">
        <v>0.2</v>
      </c>
      <c r="Z41" s="29">
        <v>0.2</v>
      </c>
      <c r="AA41" s="29">
        <v>4.9000000000000004</v>
      </c>
      <c r="AB41" s="14">
        <f t="shared" si="46"/>
        <v>22.200000000000003</v>
      </c>
      <c r="AC41" s="30"/>
      <c r="AD41" s="89"/>
      <c r="AE41" s="24"/>
      <c r="AN41" s="89"/>
      <c r="AO41" s="24"/>
      <c r="AQ41" s="24"/>
      <c r="AR41" s="24"/>
      <c r="AS41" s="36"/>
      <c r="AT41" s="36"/>
      <c r="AU41" s="36"/>
      <c r="AV41" s="36"/>
      <c r="AW41" s="36"/>
      <c r="AX41" s="89"/>
      <c r="AY41" s="24"/>
      <c r="BH41" s="85"/>
      <c r="BI41" s="24"/>
      <c r="BR41" s="85"/>
      <c r="BS41" s="24"/>
      <c r="BU41" s="24"/>
      <c r="BV41" s="24"/>
      <c r="BW41" s="36"/>
      <c r="BX41" s="36"/>
      <c r="BY41" s="36"/>
      <c r="BZ41" s="36"/>
      <c r="CA41" s="36"/>
      <c r="CB41" s="85"/>
      <c r="CC41" s="24"/>
      <c r="CD41" s="18">
        <v>368</v>
      </c>
      <c r="CE41" s="18" t="s">
        <v>52</v>
      </c>
      <c r="CF41" s="18">
        <v>100</v>
      </c>
      <c r="CG41" s="14">
        <v>0.4</v>
      </c>
      <c r="CH41" s="14">
        <v>0.4</v>
      </c>
      <c r="CI41" s="14">
        <v>9.8000000000000007</v>
      </c>
      <c r="CJ41" s="13">
        <f>CI41*4+CH41*9+CG41*4</f>
        <v>44.400000000000006</v>
      </c>
      <c r="CK41" s="14">
        <v>10</v>
      </c>
      <c r="CL41" s="85"/>
      <c r="CM41" s="24"/>
      <c r="CN41" s="18">
        <v>368</v>
      </c>
      <c r="CO41" s="18" t="s">
        <v>52</v>
      </c>
      <c r="CP41" s="18">
        <v>100</v>
      </c>
      <c r="CQ41" s="14">
        <v>0.4</v>
      </c>
      <c r="CR41" s="14">
        <v>0.4</v>
      </c>
      <c r="CS41" s="14">
        <v>9.8000000000000007</v>
      </c>
      <c r="CT41" s="13">
        <f>CS41*4+CR41*9+CQ41*4</f>
        <v>44.400000000000006</v>
      </c>
      <c r="CU41" s="14">
        <v>10</v>
      </c>
    </row>
    <row r="42" spans="1:99" x14ac:dyDescent="0.3">
      <c r="A42" s="39" t="s">
        <v>55</v>
      </c>
      <c r="B42" s="40"/>
      <c r="C42" s="39"/>
      <c r="D42" s="39">
        <f t="shared" ref="D42:I42" si="52">SUM(D35:D41)</f>
        <v>530</v>
      </c>
      <c r="E42" s="39">
        <f t="shared" si="52"/>
        <v>26.898888888888884</v>
      </c>
      <c r="F42" s="39">
        <f t="shared" si="52"/>
        <v>24.962222222222223</v>
      </c>
      <c r="G42" s="39">
        <f t="shared" si="52"/>
        <v>62.027777777777771</v>
      </c>
      <c r="H42" s="39">
        <f t="shared" si="52"/>
        <v>580.36666666666656</v>
      </c>
      <c r="I42" s="39">
        <f t="shared" si="52"/>
        <v>12.763333333333334</v>
      </c>
      <c r="J42" s="89"/>
      <c r="K42" s="40" t="s">
        <v>55</v>
      </c>
      <c r="L42" s="40"/>
      <c r="M42" s="40"/>
      <c r="N42" s="54">
        <f t="shared" ref="N42:S42" si="53">SUM(N35:N41)</f>
        <v>457</v>
      </c>
      <c r="O42" s="54">
        <f t="shared" si="53"/>
        <v>20.810933333333335</v>
      </c>
      <c r="P42" s="54">
        <f t="shared" si="53"/>
        <v>15.853733333333334</v>
      </c>
      <c r="Q42" s="54">
        <f t="shared" si="53"/>
        <v>53.304933333333331</v>
      </c>
      <c r="R42" s="54">
        <f t="shared" si="53"/>
        <v>439.14706666666666</v>
      </c>
      <c r="S42" s="54">
        <f t="shared" si="53"/>
        <v>6.2785333333333329</v>
      </c>
      <c r="T42" s="89"/>
      <c r="U42" s="40" t="s">
        <v>55</v>
      </c>
      <c r="V42" s="40"/>
      <c r="W42" s="40"/>
      <c r="X42" s="40">
        <f>SUM(X35:X41)</f>
        <v>555</v>
      </c>
      <c r="Y42" s="40">
        <f>SUM(Y23:Y41)</f>
        <v>103.21639999999999</v>
      </c>
      <c r="Z42" s="40">
        <f>SUM(Z23:Z41)</f>
        <v>87.276800000000009</v>
      </c>
      <c r="AA42" s="40">
        <f>SUM(AA23:AA41)</f>
        <v>337.81279999999998</v>
      </c>
      <c r="AB42" s="40">
        <f>SUM(AB23:AB41)</f>
        <v>2549.6079999999993</v>
      </c>
      <c r="AC42" s="40">
        <f>SUM(AC23:AC41)</f>
        <v>53.053399999999989</v>
      </c>
      <c r="AD42" s="89"/>
      <c r="AE42" s="40" t="s">
        <v>55</v>
      </c>
      <c r="AF42" s="40"/>
      <c r="AG42" s="40"/>
      <c r="AH42" s="54">
        <f t="shared" ref="AH42:AM42" si="54">SUM(AH36:AH40)</f>
        <v>445</v>
      </c>
      <c r="AI42" s="54">
        <f t="shared" si="54"/>
        <v>33.998000000000005</v>
      </c>
      <c r="AJ42" s="54">
        <f t="shared" si="54"/>
        <v>26.256999999999998</v>
      </c>
      <c r="AK42" s="54">
        <f t="shared" si="54"/>
        <v>99.474000000000004</v>
      </c>
      <c r="AL42" s="54">
        <f t="shared" si="54"/>
        <v>770.20099999999991</v>
      </c>
      <c r="AM42" s="54">
        <f t="shared" si="54"/>
        <v>4.6630000000000003</v>
      </c>
      <c r="AN42" s="89"/>
      <c r="AO42" s="40" t="s">
        <v>55</v>
      </c>
      <c r="AP42" s="40"/>
      <c r="AQ42" s="40"/>
      <c r="AR42" s="54">
        <f>SUM(AR35:AR41)</f>
        <v>515</v>
      </c>
      <c r="AS42" s="54">
        <f t="shared" ref="AS42:AW42" si="55">SUM(AS35:AS41)</f>
        <v>24.591999999999999</v>
      </c>
      <c r="AT42" s="54">
        <f t="shared" si="55"/>
        <v>24.165999999999997</v>
      </c>
      <c r="AU42" s="54">
        <f t="shared" si="55"/>
        <v>64.616</v>
      </c>
      <c r="AV42" s="54">
        <f t="shared" si="55"/>
        <v>574.32600000000002</v>
      </c>
      <c r="AW42" s="54">
        <f t="shared" si="55"/>
        <v>15.719999999999999</v>
      </c>
      <c r="AX42" s="89"/>
      <c r="AY42" s="40" t="s">
        <v>55</v>
      </c>
      <c r="AZ42" s="40"/>
      <c r="BA42" s="40"/>
      <c r="BB42" s="54">
        <f t="shared" ref="BB42:BG42" si="56">SUM(BB35:BB40)</f>
        <v>497</v>
      </c>
      <c r="BC42" s="54">
        <f t="shared" si="56"/>
        <v>11.753000000000002</v>
      </c>
      <c r="BD42" s="54">
        <f t="shared" si="56"/>
        <v>16.222999999999999</v>
      </c>
      <c r="BE42" s="54">
        <f t="shared" si="56"/>
        <v>70.486000000000004</v>
      </c>
      <c r="BF42" s="54">
        <f t="shared" si="56"/>
        <v>474.96299999999997</v>
      </c>
      <c r="BG42" s="54">
        <f t="shared" si="56"/>
        <v>22.442999999999998</v>
      </c>
      <c r="BH42" s="85"/>
      <c r="BI42" s="40" t="s">
        <v>55</v>
      </c>
      <c r="BJ42" s="40"/>
      <c r="BK42" s="40"/>
      <c r="BL42" s="54">
        <f>SUM(BL35:BL40)</f>
        <v>440</v>
      </c>
      <c r="BM42" s="54">
        <f>SUM(BM36:BM41)</f>
        <v>28.514688888888891</v>
      </c>
      <c r="BN42" s="54">
        <f>SUM(BN36:BN41)</f>
        <v>22.323622222222223</v>
      </c>
      <c r="BO42" s="54">
        <f>SUM(BO36:BO41)</f>
        <v>59.320777777777778</v>
      </c>
      <c r="BP42" s="54">
        <f>SUM(BP36:BP41)</f>
        <v>552.25446666666664</v>
      </c>
      <c r="BQ42" s="54">
        <f>SUM(BQ36:BQ41)</f>
        <v>3.2683333333333335</v>
      </c>
      <c r="BR42" s="85"/>
      <c r="BS42" s="40" t="s">
        <v>55</v>
      </c>
      <c r="BT42" s="40"/>
      <c r="BU42" s="40"/>
      <c r="BV42" s="40">
        <f>SUM(BV35:BV41)</f>
        <v>545</v>
      </c>
      <c r="BW42" s="54">
        <f>SUM(BW35:BW41)</f>
        <v>19.256666666666668</v>
      </c>
      <c r="BX42" s="40">
        <f t="shared" ref="BX42:CA42" si="57">SUM(BX35:BX41)</f>
        <v>17.946666666666665</v>
      </c>
      <c r="BY42" s="40">
        <f t="shared" si="57"/>
        <v>62.176666666666662</v>
      </c>
      <c r="BZ42" s="40">
        <f t="shared" si="57"/>
        <v>487.25333333333333</v>
      </c>
      <c r="CA42" s="40">
        <f t="shared" si="57"/>
        <v>21.6</v>
      </c>
      <c r="CB42" s="85"/>
      <c r="CC42" s="40" t="s">
        <v>55</v>
      </c>
      <c r="CD42" s="40"/>
      <c r="CE42" s="40"/>
      <c r="CF42" s="54">
        <f>SUM(CF35:CF41)</f>
        <v>595</v>
      </c>
      <c r="CG42" s="54">
        <f t="shared" ref="CG42:CK42" si="58">SUM(CG35:CG40)</f>
        <v>19.479600000000001</v>
      </c>
      <c r="CH42" s="54">
        <f t="shared" si="58"/>
        <v>17.385999999999999</v>
      </c>
      <c r="CI42" s="54">
        <f t="shared" si="58"/>
        <v>70.867999999999995</v>
      </c>
      <c r="CJ42" s="54">
        <f t="shared" si="58"/>
        <v>517.86440000000005</v>
      </c>
      <c r="CK42" s="54">
        <f t="shared" si="58"/>
        <v>1.68</v>
      </c>
      <c r="CL42" s="85"/>
      <c r="CM42" s="40" t="s">
        <v>55</v>
      </c>
      <c r="CN42" s="40"/>
      <c r="CO42" s="40"/>
      <c r="CP42" s="54">
        <f>SUM(CP35:CP41)</f>
        <v>590</v>
      </c>
      <c r="CQ42" s="54">
        <f>SUM(AI36:AI40)</f>
        <v>33.998000000000005</v>
      </c>
      <c r="CR42" s="54">
        <f>SUM(AJ36:AJ40)</f>
        <v>26.256999999999998</v>
      </c>
      <c r="CS42" s="54">
        <f>SUM(AK36:AK40)</f>
        <v>99.474000000000004</v>
      </c>
      <c r="CT42" s="54">
        <f>SUM(AL36:AL40)</f>
        <v>770.20099999999991</v>
      </c>
      <c r="CU42" s="54">
        <f>SUM(AM36:AM40)</f>
        <v>4.6630000000000003</v>
      </c>
    </row>
    <row r="43" spans="1:99" x14ac:dyDescent="0.3">
      <c r="A43" s="39" t="s">
        <v>56</v>
      </c>
      <c r="B43" s="40"/>
      <c r="C43" s="39"/>
      <c r="D43" s="39" t="s">
        <v>147</v>
      </c>
      <c r="E43" s="66">
        <v>18.899999999999999</v>
      </c>
      <c r="F43" s="66">
        <v>21</v>
      </c>
      <c r="G43" s="66">
        <v>91.35</v>
      </c>
      <c r="H43" s="66">
        <v>630</v>
      </c>
      <c r="I43" s="66"/>
      <c r="J43" s="89"/>
      <c r="K43" s="40" t="s">
        <v>56</v>
      </c>
      <c r="L43" s="40"/>
      <c r="M43" s="40"/>
      <c r="N43" s="40" t="s">
        <v>147</v>
      </c>
      <c r="O43" s="54">
        <v>18.899999999999999</v>
      </c>
      <c r="P43" s="54">
        <v>21</v>
      </c>
      <c r="Q43" s="54">
        <v>91.35</v>
      </c>
      <c r="R43" s="54">
        <v>630</v>
      </c>
      <c r="S43" s="54"/>
      <c r="T43" s="89"/>
      <c r="U43" s="40" t="s">
        <v>56</v>
      </c>
      <c r="V43" s="40"/>
      <c r="W43" s="40"/>
      <c r="X43" s="40" t="s">
        <v>147</v>
      </c>
      <c r="Y43" s="54">
        <v>18.899999999999999</v>
      </c>
      <c r="Z43" s="54">
        <v>21</v>
      </c>
      <c r="AA43" s="54">
        <v>91.35</v>
      </c>
      <c r="AB43" s="54">
        <v>630</v>
      </c>
      <c r="AC43" s="54"/>
      <c r="AD43" s="89"/>
      <c r="AE43" s="40" t="s">
        <v>56</v>
      </c>
      <c r="AF43" s="40"/>
      <c r="AG43" s="40"/>
      <c r="AH43" s="40" t="s">
        <v>147</v>
      </c>
      <c r="AI43" s="54">
        <v>18.899999999999999</v>
      </c>
      <c r="AJ43" s="54">
        <v>21</v>
      </c>
      <c r="AK43" s="54">
        <v>91.35</v>
      </c>
      <c r="AL43" s="54">
        <v>630</v>
      </c>
      <c r="AM43" s="54"/>
      <c r="AN43" s="89"/>
      <c r="AO43" s="40" t="s">
        <v>56</v>
      </c>
      <c r="AP43" s="40"/>
      <c r="AQ43" s="40"/>
      <c r="AR43" s="40" t="s">
        <v>147</v>
      </c>
      <c r="AS43" s="54">
        <v>18.899999999999999</v>
      </c>
      <c r="AT43" s="54">
        <v>21</v>
      </c>
      <c r="AU43" s="54">
        <v>91.35</v>
      </c>
      <c r="AV43" s="54">
        <v>630</v>
      </c>
      <c r="AW43" s="54"/>
      <c r="AX43" s="89"/>
      <c r="AY43" s="40" t="s">
        <v>56</v>
      </c>
      <c r="AZ43" s="40"/>
      <c r="BA43" s="40"/>
      <c r="BB43" s="40" t="s">
        <v>147</v>
      </c>
      <c r="BC43" s="54">
        <v>18.899999999999999</v>
      </c>
      <c r="BD43" s="54">
        <v>21</v>
      </c>
      <c r="BE43" s="54">
        <v>91.35</v>
      </c>
      <c r="BF43" s="54">
        <v>630</v>
      </c>
      <c r="BG43" s="54"/>
      <c r="BH43" s="85"/>
      <c r="BI43" s="40" t="s">
        <v>56</v>
      </c>
      <c r="BJ43" s="40"/>
      <c r="BK43" s="40"/>
      <c r="BL43" s="40" t="s">
        <v>147</v>
      </c>
      <c r="BM43" s="54">
        <v>18.899999999999999</v>
      </c>
      <c r="BN43" s="54">
        <v>21</v>
      </c>
      <c r="BO43" s="54">
        <v>91.35</v>
      </c>
      <c r="BP43" s="54">
        <v>630</v>
      </c>
      <c r="BQ43" s="54"/>
      <c r="BR43" s="85"/>
      <c r="BS43" s="40" t="s">
        <v>56</v>
      </c>
      <c r="BT43" s="40"/>
      <c r="BU43" s="40"/>
      <c r="BV43" s="40" t="s">
        <v>147</v>
      </c>
      <c r="BW43" s="54">
        <v>18.899999999999999</v>
      </c>
      <c r="BX43" s="54">
        <v>21</v>
      </c>
      <c r="BY43" s="54">
        <v>91.35</v>
      </c>
      <c r="BZ43" s="54">
        <v>630</v>
      </c>
      <c r="CA43" s="54"/>
      <c r="CB43" s="85"/>
      <c r="CC43" s="40" t="s">
        <v>56</v>
      </c>
      <c r="CD43" s="40"/>
      <c r="CE43" s="40"/>
      <c r="CF43" s="40" t="s">
        <v>147</v>
      </c>
      <c r="CG43" s="54">
        <v>18.899999999999999</v>
      </c>
      <c r="CH43" s="54">
        <v>21</v>
      </c>
      <c r="CI43" s="54">
        <v>91.35</v>
      </c>
      <c r="CJ43" s="54">
        <v>630</v>
      </c>
      <c r="CK43" s="54"/>
      <c r="CL43" s="85"/>
      <c r="CM43" s="40" t="s">
        <v>56</v>
      </c>
      <c r="CN43" s="40"/>
      <c r="CO43" s="40"/>
      <c r="CP43" s="40" t="s">
        <v>147</v>
      </c>
      <c r="CQ43" s="54">
        <v>18.899999999999999</v>
      </c>
      <c r="CR43" s="54">
        <v>21</v>
      </c>
      <c r="CS43" s="54">
        <v>91.35</v>
      </c>
      <c r="CT43" s="54">
        <v>630</v>
      </c>
      <c r="CU43" s="54"/>
    </row>
    <row r="44" spans="1:99" x14ac:dyDescent="0.3">
      <c r="J44" s="89"/>
      <c r="K44" s="24"/>
      <c r="M44" s="24"/>
      <c r="N44" s="24"/>
      <c r="O44" s="24"/>
      <c r="P44" s="24"/>
      <c r="Q44" s="33"/>
      <c r="R44" s="33"/>
      <c r="S44" s="24"/>
      <c r="T44" s="89"/>
      <c r="U44" s="24"/>
      <c r="W44" s="24"/>
      <c r="X44" s="24"/>
      <c r="Y44" s="24"/>
      <c r="Z44" s="24"/>
      <c r="AA44" s="33"/>
      <c r="AB44" s="33"/>
      <c r="AC44" s="24"/>
      <c r="AD44" s="89"/>
      <c r="AE44" s="24"/>
      <c r="AG44" s="24"/>
      <c r="AH44" s="24"/>
      <c r="AI44" s="24"/>
      <c r="AJ44" s="24"/>
      <c r="AK44" s="33"/>
      <c r="AL44" s="33"/>
      <c r="AM44" s="24"/>
      <c r="AN44" s="89"/>
      <c r="AO44" s="24"/>
      <c r="AQ44" s="24"/>
      <c r="AR44" s="24"/>
      <c r="AS44" s="24"/>
      <c r="AT44" s="24"/>
      <c r="AU44" s="33"/>
      <c r="AV44" s="33"/>
      <c r="AW44" s="24"/>
      <c r="AX44" s="89"/>
      <c r="AY44" s="24"/>
      <c r="BA44" s="24"/>
      <c r="BB44" s="24"/>
      <c r="BC44" s="24"/>
      <c r="BD44" s="24"/>
      <c r="BE44" s="24"/>
      <c r="BF44" s="24"/>
      <c r="BG44" s="24"/>
      <c r="BH44" s="85"/>
      <c r="BI44" s="24"/>
      <c r="BK44" s="24"/>
      <c r="BL44" s="24"/>
      <c r="BM44" s="24"/>
      <c r="BN44" s="24"/>
      <c r="BO44" s="24"/>
      <c r="BP44" s="24"/>
      <c r="BQ44" s="24"/>
      <c r="BR44" s="85"/>
      <c r="BS44" s="24"/>
      <c r="BU44" s="24"/>
      <c r="BV44" s="24"/>
      <c r="BW44" s="24"/>
      <c r="BX44" s="24"/>
      <c r="BY44" s="33"/>
      <c r="BZ44" s="33"/>
      <c r="CA44" s="24"/>
      <c r="CB44" s="85"/>
      <c r="CC44" s="24"/>
      <c r="CE44" s="24"/>
      <c r="CF44" s="24"/>
      <c r="CG44" s="24"/>
      <c r="CH44" s="24"/>
      <c r="CI44" s="33"/>
      <c r="CJ44" s="33"/>
      <c r="CK44" s="24"/>
      <c r="CL44" s="85"/>
      <c r="CM44" s="24"/>
      <c r="CO44" s="24"/>
      <c r="CP44" s="24"/>
      <c r="CQ44" s="24"/>
      <c r="CR44" s="24"/>
      <c r="CS44" s="33"/>
      <c r="CT44" s="33"/>
      <c r="CU44" s="24"/>
    </row>
    <row r="45" spans="1:99" x14ac:dyDescent="0.3">
      <c r="A45" s="5" t="s">
        <v>148</v>
      </c>
      <c r="B45" s="6"/>
      <c r="C45" s="5"/>
      <c r="D45" s="5"/>
      <c r="E45" s="7">
        <f>E42+E31+E19+E12</f>
        <v>95.816888888888883</v>
      </c>
      <c r="F45" s="7">
        <f>F42+F31+F19+F12</f>
        <v>79.923022222222215</v>
      </c>
      <c r="G45" s="7">
        <f>G42+G31+G19+G12</f>
        <v>276.83777777777777</v>
      </c>
      <c r="H45" s="7">
        <f>H42+H31+H19+H12</f>
        <v>2209.6758666666665</v>
      </c>
      <c r="I45" s="7">
        <f>I42+I31+I19+I12</f>
        <v>197.68533333333332</v>
      </c>
      <c r="J45" s="89"/>
      <c r="K45" s="6" t="s">
        <v>148</v>
      </c>
      <c r="L45" s="6"/>
      <c r="M45" s="6"/>
      <c r="N45" s="6"/>
      <c r="O45" s="8">
        <f>O42+O31+O19+O12</f>
        <v>78.380266666666671</v>
      </c>
      <c r="P45" s="8">
        <f>P42+P31+P19+P12</f>
        <v>70.437666666666672</v>
      </c>
      <c r="Q45" s="8">
        <f>Q42+Q31+Q19+Q12</f>
        <v>226.11906666666664</v>
      </c>
      <c r="R45" s="8">
        <f>R42+R31+R19+R12</f>
        <v>1851.9363333333331</v>
      </c>
      <c r="S45" s="8">
        <f>S42+S31+S19+S12</f>
        <v>53.128533333333337</v>
      </c>
      <c r="T45" s="89"/>
      <c r="U45" s="6" t="s">
        <v>148</v>
      </c>
      <c r="V45" s="6"/>
      <c r="W45" s="6"/>
      <c r="X45" s="6"/>
      <c r="Y45" s="8">
        <f>Y42+Y31+Y19+Y12</f>
        <v>166.52459999999999</v>
      </c>
      <c r="Z45" s="8">
        <f>Z42+Z31+Z19+Z12</f>
        <v>141.67019999999999</v>
      </c>
      <c r="AA45" s="8">
        <f>AA42+AA31+AA19+AA12</f>
        <v>603.3341999999999</v>
      </c>
      <c r="AB45" s="8">
        <f>AB42+AB31+AB19+AB12</f>
        <v>3857.8269999999993</v>
      </c>
      <c r="AC45" s="8">
        <f>AC42+AC31+AC19+AC12</f>
        <v>77.507599999999982</v>
      </c>
      <c r="AD45" s="89"/>
      <c r="AE45" s="6" t="s">
        <v>148</v>
      </c>
      <c r="AF45" s="6"/>
      <c r="AG45" s="6"/>
      <c r="AH45" s="6"/>
      <c r="AI45" s="8">
        <f>AI42+AI31+AI19+AI12</f>
        <v>76.066000000000003</v>
      </c>
      <c r="AJ45" s="8">
        <f t="shared" ref="AJ45:AM45" si="59">AJ42+AJ31+AJ19+AJ12</f>
        <v>66.294999999999987</v>
      </c>
      <c r="AK45" s="8">
        <f t="shared" si="59"/>
        <v>277.03399999999999</v>
      </c>
      <c r="AL45" s="8">
        <f t="shared" si="59"/>
        <v>1964.655</v>
      </c>
      <c r="AM45" s="8">
        <f t="shared" si="59"/>
        <v>7.5380000000000003</v>
      </c>
      <c r="AN45" s="89"/>
      <c r="AO45" s="6" t="s">
        <v>148</v>
      </c>
      <c r="AP45" s="6"/>
      <c r="AQ45" s="6"/>
      <c r="AR45" s="6"/>
      <c r="AS45" s="8">
        <f>AS42+AS31+AS19+AS12</f>
        <v>69.515999999999991</v>
      </c>
      <c r="AT45" s="8">
        <f t="shared" ref="AT45:AW45" si="60">AT42+AT31+AT19+AT12</f>
        <v>65.484000000000009</v>
      </c>
      <c r="AU45" s="8">
        <f t="shared" si="60"/>
        <v>269.27300000000002</v>
      </c>
      <c r="AV45" s="8">
        <f t="shared" si="60"/>
        <v>1944.5120000000002</v>
      </c>
      <c r="AW45" s="8">
        <f t="shared" si="60"/>
        <v>36.006</v>
      </c>
      <c r="AX45" s="89"/>
      <c r="AY45" s="6" t="s">
        <v>148</v>
      </c>
      <c r="AZ45" s="6"/>
      <c r="BA45" s="6"/>
      <c r="BB45" s="6"/>
      <c r="BC45" s="8">
        <f>BC42+BC31+BC19+BC12</f>
        <v>64.356870967741941</v>
      </c>
      <c r="BD45" s="8">
        <f t="shared" ref="BD45:BF45" si="61">BD42+BD31+BD19+BD12</f>
        <v>62.28170967741935</v>
      </c>
      <c r="BE45" s="8">
        <f t="shared" si="61"/>
        <v>299.73312903225803</v>
      </c>
      <c r="BF45" s="8">
        <f t="shared" si="61"/>
        <v>2016.8953870967739</v>
      </c>
      <c r="BG45" s="8"/>
      <c r="BH45" s="85"/>
      <c r="BI45" s="6" t="s">
        <v>148</v>
      </c>
      <c r="BJ45" s="6"/>
      <c r="BK45" s="6"/>
      <c r="BL45" s="6"/>
      <c r="BM45" s="8">
        <f>BM42+BM31+BM19+BM12</f>
        <v>69.447088888888899</v>
      </c>
      <c r="BN45" s="8">
        <f t="shared" ref="BN45:BP45" si="62">BN42+BN31+BN19+BN12</f>
        <v>54.296022222222227</v>
      </c>
      <c r="BO45" s="8">
        <f t="shared" si="62"/>
        <v>271.32527777777779</v>
      </c>
      <c r="BP45" s="8">
        <f t="shared" si="62"/>
        <v>1851.753666666667</v>
      </c>
      <c r="BQ45" s="8"/>
      <c r="BR45" s="85"/>
      <c r="BS45" s="6" t="s">
        <v>148</v>
      </c>
      <c r="BT45" s="6"/>
      <c r="BU45" s="6"/>
      <c r="BV45" s="6"/>
      <c r="BW45" s="8">
        <f>BW42+BW31+BW19+BW12</f>
        <v>59.734866666666669</v>
      </c>
      <c r="BX45" s="8">
        <f>BX42+BX31+BX19+BX12</f>
        <v>50.775066666666667</v>
      </c>
      <c r="BY45" s="8">
        <f>BY42+BY31+BY19+BY12</f>
        <v>267.39806666666664</v>
      </c>
      <c r="BZ45" s="8">
        <f>BZ42+BZ31+BZ19+BZ12</f>
        <v>1765.507333333333</v>
      </c>
      <c r="CA45" s="8">
        <f>CA42+CA31+CA19+CA12</f>
        <v>75.733199999999997</v>
      </c>
      <c r="CB45" s="85"/>
      <c r="CC45" s="6" t="s">
        <v>148</v>
      </c>
      <c r="CD45" s="6"/>
      <c r="CE45" s="6"/>
      <c r="CF45" s="6"/>
      <c r="CG45" s="8">
        <f>CG42+CG31+CG19+CG12</f>
        <v>57.464600000000004</v>
      </c>
      <c r="CH45" s="8">
        <f>CH42+CH31+CH19+CH12</f>
        <v>64.444333333333333</v>
      </c>
      <c r="CI45" s="8">
        <f>CI42+CI31+CI19+CI12</f>
        <v>285.87599999999998</v>
      </c>
      <c r="CJ45" s="8">
        <f>CJ42+CJ31+CJ19+CJ12</f>
        <v>1953.3614000000002</v>
      </c>
      <c r="CK45" s="8">
        <f>CK42+CK31+CK19+CK12</f>
        <v>31.969999999999995</v>
      </c>
      <c r="CL45" s="85"/>
      <c r="CM45" s="6" t="s">
        <v>148</v>
      </c>
      <c r="CN45" s="6"/>
      <c r="CO45" s="6"/>
      <c r="CP45" s="6"/>
      <c r="CQ45" s="8">
        <f>CQ42+CQ31+CQ19+CQ12</f>
        <v>84.406800000000004</v>
      </c>
      <c r="CR45" s="8">
        <f>CR42+CR31+CR19+CR12</f>
        <v>73.212600000000009</v>
      </c>
      <c r="CS45" s="8">
        <f>CS42+CS31+CS19+CS12</f>
        <v>292.69060000000002</v>
      </c>
      <c r="CT45" s="8">
        <f>CT42+CT31+CT19+CT12</f>
        <v>2165.8629999999998</v>
      </c>
      <c r="CU45" s="8">
        <f>CU42+CU31+CU19+CU12</f>
        <v>45.824399999999997</v>
      </c>
    </row>
    <row r="46" spans="1:99" x14ac:dyDescent="0.3">
      <c r="A46" s="5" t="s">
        <v>56</v>
      </c>
      <c r="B46" s="6"/>
      <c r="C46" s="5"/>
      <c r="D46" s="5"/>
      <c r="E46" s="7">
        <v>54</v>
      </c>
      <c r="F46" s="7">
        <v>60</v>
      </c>
      <c r="G46" s="7">
        <v>261</v>
      </c>
      <c r="H46" s="7">
        <v>1800</v>
      </c>
      <c r="I46" s="7"/>
      <c r="J46" s="89"/>
      <c r="K46" s="6" t="s">
        <v>56</v>
      </c>
      <c r="L46" s="6"/>
      <c r="M46" s="6"/>
      <c r="N46" s="6"/>
      <c r="O46" s="8">
        <v>54</v>
      </c>
      <c r="P46" s="8">
        <v>60</v>
      </c>
      <c r="Q46" s="8">
        <v>261</v>
      </c>
      <c r="R46" s="8">
        <v>1800</v>
      </c>
      <c r="S46" s="8"/>
      <c r="T46" s="89"/>
      <c r="U46" s="6" t="s">
        <v>56</v>
      </c>
      <c r="V46" s="6"/>
      <c r="W46" s="6"/>
      <c r="X46" s="6"/>
      <c r="Y46" s="8">
        <v>54</v>
      </c>
      <c r="Z46" s="8">
        <v>60</v>
      </c>
      <c r="AA46" s="8">
        <v>261</v>
      </c>
      <c r="AB46" s="8">
        <v>1800</v>
      </c>
      <c r="AC46" s="8"/>
      <c r="AD46" s="89"/>
      <c r="AE46" s="6" t="s">
        <v>56</v>
      </c>
      <c r="AF46" s="6"/>
      <c r="AG46" s="6"/>
      <c r="AH46" s="6"/>
      <c r="AI46" s="8">
        <v>54</v>
      </c>
      <c r="AJ46" s="8">
        <v>60</v>
      </c>
      <c r="AK46" s="8">
        <v>261</v>
      </c>
      <c r="AL46" s="8">
        <v>1800</v>
      </c>
      <c r="AM46" s="8"/>
      <c r="AN46" s="89"/>
      <c r="AO46" s="6" t="s">
        <v>56</v>
      </c>
      <c r="AP46" s="6"/>
      <c r="AQ46" s="6"/>
      <c r="AR46" s="6"/>
      <c r="AS46" s="8">
        <v>54</v>
      </c>
      <c r="AT46" s="8">
        <v>60</v>
      </c>
      <c r="AU46" s="8">
        <v>261</v>
      </c>
      <c r="AV46" s="8">
        <v>1800</v>
      </c>
      <c r="AW46" s="8"/>
      <c r="AX46" s="89"/>
      <c r="AY46" s="6" t="s">
        <v>56</v>
      </c>
      <c r="AZ46" s="6"/>
      <c r="BA46" s="6"/>
      <c r="BB46" s="6"/>
      <c r="BC46" s="8">
        <v>54</v>
      </c>
      <c r="BD46" s="8">
        <v>60</v>
      </c>
      <c r="BE46" s="8">
        <v>261</v>
      </c>
      <c r="BF46" s="8">
        <v>1800</v>
      </c>
      <c r="BG46" s="8"/>
      <c r="BH46" s="85"/>
      <c r="BI46" s="6" t="s">
        <v>56</v>
      </c>
      <c r="BJ46" s="6"/>
      <c r="BK46" s="6"/>
      <c r="BL46" s="6"/>
      <c r="BM46" s="8">
        <v>54</v>
      </c>
      <c r="BN46" s="8">
        <v>60</v>
      </c>
      <c r="BO46" s="8">
        <v>261</v>
      </c>
      <c r="BP46" s="8">
        <v>1800</v>
      </c>
      <c r="BQ46" s="8"/>
      <c r="BR46" s="85"/>
      <c r="BS46" s="6" t="s">
        <v>56</v>
      </c>
      <c r="BT46" s="6"/>
      <c r="BU46" s="6"/>
      <c r="BV46" s="6"/>
      <c r="BW46" s="8">
        <v>54</v>
      </c>
      <c r="BX46" s="8">
        <v>60</v>
      </c>
      <c r="BY46" s="8">
        <v>261</v>
      </c>
      <c r="BZ46" s="8">
        <v>1800</v>
      </c>
      <c r="CA46" s="8"/>
      <c r="CB46" s="85"/>
      <c r="CC46" s="6" t="s">
        <v>56</v>
      </c>
      <c r="CD46" s="6"/>
      <c r="CE46" s="6"/>
      <c r="CF46" s="6"/>
      <c r="CG46" s="8">
        <v>54</v>
      </c>
      <c r="CH46" s="8">
        <v>60</v>
      </c>
      <c r="CI46" s="8">
        <v>261</v>
      </c>
      <c r="CJ46" s="8">
        <v>1800</v>
      </c>
      <c r="CK46" s="8"/>
      <c r="CL46" s="85"/>
      <c r="CM46" s="6" t="s">
        <v>56</v>
      </c>
      <c r="CN46" s="6"/>
      <c r="CO46" s="6"/>
      <c r="CP46" s="6"/>
      <c r="CQ46" s="8">
        <v>54</v>
      </c>
      <c r="CR46" s="8">
        <v>60</v>
      </c>
      <c r="CS46" s="8">
        <v>261</v>
      </c>
      <c r="CT46" s="8">
        <v>1800</v>
      </c>
      <c r="CU46" s="8"/>
    </row>
    <row r="47" spans="1:99" x14ac:dyDescent="0.3">
      <c r="J47" s="89"/>
      <c r="T47" s="89"/>
      <c r="AD47" s="89"/>
      <c r="AI47" s="60"/>
      <c r="AN47" s="89"/>
      <c r="AX47" s="89"/>
      <c r="BH47" s="85"/>
      <c r="BR47" s="85"/>
      <c r="CB47" s="85"/>
      <c r="CL47" s="85"/>
    </row>
  </sheetData>
  <mergeCells count="116">
    <mergeCell ref="I1:I2"/>
    <mergeCell ref="J1:J1048576"/>
    <mergeCell ref="K1:K2"/>
    <mergeCell ref="L1:L2"/>
    <mergeCell ref="M1:M2"/>
    <mergeCell ref="N1:N2"/>
    <mergeCell ref="A22:I22"/>
    <mergeCell ref="A1:A2"/>
    <mergeCell ref="B1:B2"/>
    <mergeCell ref="C1:C2"/>
    <mergeCell ref="D1:D2"/>
    <mergeCell ref="E1:G1"/>
    <mergeCell ref="H1:H2"/>
    <mergeCell ref="W1:W2"/>
    <mergeCell ref="X1:X2"/>
    <mergeCell ref="Y1:AA1"/>
    <mergeCell ref="AB1:AB2"/>
    <mergeCell ref="AC1:AC2"/>
    <mergeCell ref="AD1:AD1048576"/>
    <mergeCell ref="U22:AC22"/>
    <mergeCell ref="O1:Q1"/>
    <mergeCell ref="R1:R2"/>
    <mergeCell ref="S1:S2"/>
    <mergeCell ref="T1:T1048576"/>
    <mergeCell ref="U1:U2"/>
    <mergeCell ref="V1:V2"/>
    <mergeCell ref="K22:S22"/>
    <mergeCell ref="AM1:AM2"/>
    <mergeCell ref="AN1:AN1048576"/>
    <mergeCell ref="AO1:AO2"/>
    <mergeCell ref="AP1:AP2"/>
    <mergeCell ref="AQ1:AQ2"/>
    <mergeCell ref="AR1:AR2"/>
    <mergeCell ref="AE1:AE2"/>
    <mergeCell ref="AF1:AF2"/>
    <mergeCell ref="AG1:AG2"/>
    <mergeCell ref="AH1:AH2"/>
    <mergeCell ref="AI1:AK1"/>
    <mergeCell ref="AL1:AL2"/>
    <mergeCell ref="BA1:BA2"/>
    <mergeCell ref="BB1:BB2"/>
    <mergeCell ref="BC1:BE1"/>
    <mergeCell ref="BF1:BF2"/>
    <mergeCell ref="BG1:BG2"/>
    <mergeCell ref="BH1:BH1048576"/>
    <mergeCell ref="AY22:BG22"/>
    <mergeCell ref="AS1:AU1"/>
    <mergeCell ref="AV1:AV2"/>
    <mergeCell ref="AW1:AW2"/>
    <mergeCell ref="AX1:AX1048576"/>
    <mergeCell ref="AY1:AY2"/>
    <mergeCell ref="AZ1:AZ2"/>
    <mergeCell ref="AO22:AW22"/>
    <mergeCell ref="BZ1:BZ2"/>
    <mergeCell ref="CA1:CA2"/>
    <mergeCell ref="CB1:CB1048576"/>
    <mergeCell ref="CC1:CC2"/>
    <mergeCell ref="CD1:CD2"/>
    <mergeCell ref="BS22:CA22"/>
    <mergeCell ref="BQ1:BQ2"/>
    <mergeCell ref="BR1:BR1048576"/>
    <mergeCell ref="BS1:BS2"/>
    <mergeCell ref="BT1:BT2"/>
    <mergeCell ref="BU1:BU2"/>
    <mergeCell ref="BV1:BV2"/>
    <mergeCell ref="BI22:BQ22"/>
    <mergeCell ref="BI1:BI2"/>
    <mergeCell ref="BJ1:BJ2"/>
    <mergeCell ref="BK1:BK2"/>
    <mergeCell ref="BL1:BL2"/>
    <mergeCell ref="BM1:BO1"/>
    <mergeCell ref="BP1:BP2"/>
    <mergeCell ref="CU1:CU2"/>
    <mergeCell ref="A4:I4"/>
    <mergeCell ref="K4:S4"/>
    <mergeCell ref="U4:AC4"/>
    <mergeCell ref="AE4:AM4"/>
    <mergeCell ref="AO4:AW4"/>
    <mergeCell ref="AY4:BG4"/>
    <mergeCell ref="BI4:BQ4"/>
    <mergeCell ref="BS4:CA4"/>
    <mergeCell ref="CC4:CK4"/>
    <mergeCell ref="CM1:CM2"/>
    <mergeCell ref="CN1:CN2"/>
    <mergeCell ref="CO1:CO2"/>
    <mergeCell ref="CP1:CP2"/>
    <mergeCell ref="CQ1:CS1"/>
    <mergeCell ref="CT1:CT2"/>
    <mergeCell ref="CE1:CE2"/>
    <mergeCell ref="CF1:CF2"/>
    <mergeCell ref="CG1:CI1"/>
    <mergeCell ref="CJ1:CJ2"/>
    <mergeCell ref="CK1:CK2"/>
    <mergeCell ref="CL1:CL1048576"/>
    <mergeCell ref="CC22:CK22"/>
    <mergeCell ref="BW1:BY1"/>
    <mergeCell ref="CM4:CU4"/>
    <mergeCell ref="A15:I15"/>
    <mergeCell ref="K15:S15"/>
    <mergeCell ref="U15:AC15"/>
    <mergeCell ref="AO15:AW15"/>
    <mergeCell ref="AY15:BG15"/>
    <mergeCell ref="BI15:BQ15"/>
    <mergeCell ref="BS15:CA15"/>
    <mergeCell ref="CC15:CK15"/>
    <mergeCell ref="CM15:CU15"/>
    <mergeCell ref="CM22:CU22"/>
    <mergeCell ref="A34:I34"/>
    <mergeCell ref="K34:S34"/>
    <mergeCell ref="U34:AC34"/>
    <mergeCell ref="AO34:AW34"/>
    <mergeCell ref="AY34:BG34"/>
    <mergeCell ref="BI34:BQ34"/>
    <mergeCell ref="BS34:CA34"/>
    <mergeCell ref="CC34:CK34"/>
    <mergeCell ref="CM34:CU3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2021-02-05T15:26:29Z</dcterms:modified>
</cp:coreProperties>
</file>