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9200" windowHeight="7050" tabRatio="519" firstSheet="1" activeTab="2"/>
  </bookViews>
  <sheets>
    <sheet name="Энерг.Ц." sheetId="1" r:id="rId1"/>
    <sheet name="Меню зима-" sheetId="2" r:id="rId2"/>
    <sheet name="Сырьё зима" sheetId="3" r:id="rId3"/>
  </sheets>
  <definedNames>
    <definedName name="_xlnm.Print_Area" localSheetId="1">'Меню зима-'!$A$1:$FF$53</definedName>
  </definedNames>
  <calcPr calcId="162913"/>
</workbook>
</file>

<file path=xl/calcChain.xml><?xml version="1.0" encoding="utf-8"?>
<calcChain xmlns="http://schemas.openxmlformats.org/spreadsheetml/2006/main">
  <c r="CT25" i="2" l="1"/>
  <c r="CT26" i="2"/>
  <c r="CT27" i="2"/>
  <c r="CT8" i="2"/>
  <c r="CT7" i="2"/>
  <c r="CT38" i="2" l="1"/>
  <c r="CJ37" i="2"/>
  <c r="CJ7" i="2" l="1"/>
  <c r="CK17" i="2"/>
  <c r="CJ17" i="2"/>
  <c r="BZ8" i="2"/>
  <c r="BP17" i="2" l="1"/>
  <c r="BP8" i="2"/>
  <c r="BF17" i="2"/>
  <c r="CJ16" i="2" l="1"/>
  <c r="BZ16" i="2"/>
  <c r="AV16" i="2"/>
  <c r="AL17" i="2"/>
  <c r="R36" i="2"/>
  <c r="D42" i="2"/>
  <c r="I42" i="2"/>
  <c r="H38" i="2"/>
  <c r="H40" i="2"/>
  <c r="H35" i="2"/>
  <c r="H37" i="2"/>
  <c r="D12" i="2"/>
  <c r="H9" i="2"/>
  <c r="H6" i="2"/>
  <c r="O197" i="3" l="1"/>
  <c r="N197" i="3"/>
  <c r="C202" i="3"/>
  <c r="C190" i="3"/>
  <c r="C26" i="3" l="1"/>
  <c r="C9" i="3"/>
  <c r="O275" i="3" l="1"/>
  <c r="P275" i="3"/>
  <c r="Q275" i="3"/>
  <c r="R275" i="3"/>
  <c r="S275" i="3"/>
  <c r="T275" i="3"/>
  <c r="U275" i="3"/>
  <c r="V275" i="3"/>
  <c r="X275" i="3"/>
  <c r="Z275" i="3"/>
  <c r="AA275" i="3"/>
  <c r="AB275" i="3"/>
  <c r="AC275" i="3"/>
  <c r="AE275" i="3"/>
  <c r="AF275" i="3"/>
  <c r="AG275" i="3"/>
  <c r="D275" i="3"/>
  <c r="E275" i="3"/>
  <c r="G275" i="3"/>
  <c r="H275" i="3"/>
  <c r="I275" i="3"/>
  <c r="J275" i="3"/>
  <c r="K275" i="3"/>
  <c r="L275" i="3"/>
  <c r="C37" i="3" l="1"/>
  <c r="N269" i="3"/>
  <c r="N49" i="3"/>
  <c r="C274" i="3" l="1"/>
  <c r="CS41" i="2" l="1"/>
  <c r="CR41" i="2"/>
  <c r="CQ41" i="2"/>
  <c r="CT40" i="2"/>
  <c r="CS10" i="2"/>
  <c r="CR10" i="2"/>
  <c r="CQ10" i="2"/>
  <c r="CI28" i="2"/>
  <c r="CH28" i="2"/>
  <c r="CG28" i="2"/>
  <c r="CI9" i="2"/>
  <c r="CH9" i="2"/>
  <c r="CG9" i="2"/>
  <c r="BY28" i="2"/>
  <c r="BX28" i="2"/>
  <c r="BW28" i="2"/>
  <c r="BV31" i="2"/>
  <c r="CA17" i="2"/>
  <c r="BL42" i="2"/>
  <c r="BQ35" i="2"/>
  <c r="BO35" i="2"/>
  <c r="BN35" i="2"/>
  <c r="BM35" i="2"/>
  <c r="BQ16" i="2"/>
  <c r="BG16" i="2"/>
  <c r="BE16" i="2"/>
  <c r="BD16" i="2"/>
  <c r="BC16" i="2"/>
  <c r="AU27" i="2"/>
  <c r="AT27" i="2"/>
  <c r="AS27" i="2"/>
  <c r="AH42" i="2"/>
  <c r="AM35" i="2"/>
  <c r="AK35" i="2"/>
  <c r="AJ35" i="2"/>
  <c r="AI35" i="2"/>
  <c r="AA41" i="2"/>
  <c r="Z41" i="2"/>
  <c r="Y41" i="2"/>
  <c r="Q9" i="2"/>
  <c r="P9" i="2"/>
  <c r="O9" i="2"/>
  <c r="I8" i="2"/>
  <c r="I12" i="2" s="1"/>
  <c r="G8" i="2"/>
  <c r="F8" i="2"/>
  <c r="E8" i="2"/>
  <c r="C212" i="3"/>
  <c r="O184" i="3"/>
  <c r="N184" i="3"/>
  <c r="O102" i="3"/>
  <c r="N102" i="3"/>
  <c r="R9" i="2" l="1"/>
  <c r="BZ28" i="2"/>
  <c r="CJ9" i="2"/>
  <c r="CJ28" i="2"/>
  <c r="BF16" i="2"/>
  <c r="CT41" i="2"/>
  <c r="AB41" i="2"/>
  <c r="CT10" i="2"/>
  <c r="BP16" i="2"/>
  <c r="BP35" i="2"/>
  <c r="H8" i="2"/>
  <c r="BZ17" i="2"/>
  <c r="AL35" i="2"/>
  <c r="C109" i="3"/>
  <c r="O7" i="3" l="1"/>
  <c r="N7" i="3"/>
  <c r="F275" i="3" l="1"/>
  <c r="C240" i="3"/>
  <c r="C47" i="3"/>
  <c r="CI36" i="2" l="1"/>
  <c r="CH36" i="2"/>
  <c r="CG36" i="2"/>
  <c r="CJ36" i="2" l="1"/>
  <c r="O99" i="3"/>
  <c r="N42" i="2" l="1"/>
  <c r="C55" i="3"/>
  <c r="Q24" i="2" l="1"/>
  <c r="BV12" i="2"/>
  <c r="BQ23" i="2"/>
  <c r="I23" i="2"/>
  <c r="BZ35" i="2" l="1"/>
  <c r="BP23" i="2"/>
  <c r="BB31" i="2"/>
  <c r="C101" i="3"/>
  <c r="CF42" i="2"/>
  <c r="CP42" i="2"/>
  <c r="C248" i="3"/>
  <c r="AK36" i="2"/>
  <c r="AJ36" i="2"/>
  <c r="AI36" i="2"/>
  <c r="AK39" i="2"/>
  <c r="AJ39" i="2"/>
  <c r="AI39" i="2"/>
  <c r="AK40" i="2"/>
  <c r="AJ40" i="2"/>
  <c r="AI40" i="2"/>
  <c r="CJ39" i="2"/>
  <c r="CA27" i="2"/>
  <c r="BY27" i="2"/>
  <c r="BX27" i="2"/>
  <c r="BW27" i="2"/>
  <c r="BO28" i="2"/>
  <c r="BN28" i="2"/>
  <c r="BM28" i="2"/>
  <c r="C266" i="3"/>
  <c r="C257" i="3"/>
  <c r="F28" i="3"/>
  <c r="G28" i="3"/>
  <c r="H28" i="3"/>
  <c r="I28" i="3"/>
  <c r="J28" i="3"/>
  <c r="K28" i="3"/>
  <c r="M28" i="3"/>
  <c r="P28" i="3"/>
  <c r="Q28" i="3"/>
  <c r="R28" i="3"/>
  <c r="S28" i="3"/>
  <c r="T28" i="3"/>
  <c r="V28" i="3"/>
  <c r="W28" i="3"/>
  <c r="X28" i="3"/>
  <c r="Y28" i="3"/>
  <c r="Z28" i="3"/>
  <c r="AA28" i="3"/>
  <c r="AB28" i="3"/>
  <c r="AC28" i="3"/>
  <c r="AE28" i="3"/>
  <c r="AF28" i="3"/>
  <c r="AG28" i="3"/>
  <c r="X103" i="3"/>
  <c r="U103" i="3"/>
  <c r="N103" i="3"/>
  <c r="L103" i="3"/>
  <c r="D103" i="3"/>
  <c r="E103" i="3"/>
  <c r="AK42" i="2" l="1"/>
  <c r="AI42" i="2"/>
  <c r="AJ42" i="2"/>
  <c r="BP28" i="2"/>
  <c r="BZ27" i="2"/>
  <c r="AL40" i="2"/>
  <c r="CT17" i="2"/>
  <c r="AL39" i="2"/>
  <c r="CT9" i="2" l="1"/>
  <c r="AU6" i="2"/>
  <c r="F8" i="1" l="1"/>
  <c r="F7" i="1"/>
  <c r="F6" i="1"/>
  <c r="F5" i="1"/>
  <c r="AL36" i="2" l="1"/>
  <c r="CT28" i="2"/>
  <c r="CT39" i="2"/>
  <c r="CJ24" i="2"/>
  <c r="CJ35" i="2"/>
  <c r="CJ8" i="2"/>
  <c r="CJ5" i="2"/>
  <c r="BZ25" i="2"/>
  <c r="BZ40" i="2"/>
  <c r="BP38" i="2"/>
  <c r="BP25" i="2"/>
  <c r="BP7" i="2"/>
  <c r="BF36" i="2"/>
  <c r="BF39" i="2"/>
  <c r="BF40" i="2"/>
  <c r="BF38" i="2"/>
  <c r="BE6" i="2"/>
  <c r="BD6" i="2"/>
  <c r="BC6" i="2"/>
  <c r="AV24" i="2"/>
  <c r="AV38" i="2"/>
  <c r="CT36" i="2"/>
  <c r="CJ38" i="2"/>
  <c r="R6" i="2"/>
  <c r="G7" i="2"/>
  <c r="G12" i="2" s="1"/>
  <c r="F7" i="2"/>
  <c r="F12" i="2" s="1"/>
  <c r="E7" i="2"/>
  <c r="E12" i="2" s="1"/>
  <c r="H25" i="2"/>
  <c r="H7" i="2" l="1"/>
  <c r="AL42" i="2"/>
  <c r="BF6" i="2"/>
  <c r="AV37" i="2"/>
  <c r="H12" i="2" l="1"/>
  <c r="AM36" i="2"/>
  <c r="AM42" i="2" s="1"/>
  <c r="CU28" i="2"/>
  <c r="CU24" i="2"/>
  <c r="CS24" i="2"/>
  <c r="CR24" i="2"/>
  <c r="CQ24" i="2"/>
  <c r="CU5" i="2"/>
  <c r="CU12" i="2" s="1"/>
  <c r="CS12" i="2"/>
  <c r="CR12" i="2"/>
  <c r="CQ12" i="2"/>
  <c r="CK26" i="2"/>
  <c r="CI26" i="2"/>
  <c r="CH26" i="2"/>
  <c r="CG26" i="2"/>
  <c r="CK23" i="2"/>
  <c r="CI23" i="2"/>
  <c r="CH23" i="2"/>
  <c r="CG23" i="2"/>
  <c r="CK6" i="2"/>
  <c r="CI6" i="2"/>
  <c r="CH6" i="2"/>
  <c r="CG6" i="2"/>
  <c r="CA6" i="2"/>
  <c r="CA12" i="2" s="1"/>
  <c r="BQ26" i="2"/>
  <c r="BO26" i="2"/>
  <c r="BN26" i="2"/>
  <c r="BM26" i="2"/>
  <c r="BQ24" i="2"/>
  <c r="BQ5" i="2"/>
  <c r="BO5" i="2"/>
  <c r="BN5" i="2"/>
  <c r="BM5" i="2"/>
  <c r="BG38" i="2"/>
  <c r="BC35" i="2"/>
  <c r="BE28" i="2"/>
  <c r="BD28" i="2"/>
  <c r="BC28" i="2"/>
  <c r="BZ36" i="2" l="1"/>
  <c r="CJ23" i="2"/>
  <c r="BP24" i="2"/>
  <c r="BP26" i="2"/>
  <c r="BP27" i="2"/>
  <c r="BZ6" i="2"/>
  <c r="CJ25" i="2"/>
  <c r="AL26" i="2"/>
  <c r="BP5" i="2"/>
  <c r="BP6" i="2"/>
  <c r="BZ37" i="2"/>
  <c r="CJ6" i="2"/>
  <c r="CT35" i="2"/>
  <c r="CJ26" i="2"/>
  <c r="BF28" i="2"/>
  <c r="CT5" i="2"/>
  <c r="CT6" i="2"/>
  <c r="CT24" i="2"/>
  <c r="BE8" i="2"/>
  <c r="BD8" i="2"/>
  <c r="BC8" i="2"/>
  <c r="AW5" i="2"/>
  <c r="AW26" i="2"/>
  <c r="AU26" i="2"/>
  <c r="AT26" i="2"/>
  <c r="AS26" i="2"/>
  <c r="AT6" i="2"/>
  <c r="AS6" i="2"/>
  <c r="S39" i="2"/>
  <c r="S37" i="2"/>
  <c r="S42" i="2" s="1"/>
  <c r="Q37" i="2"/>
  <c r="P37" i="2"/>
  <c r="O37" i="2"/>
  <c r="BG27" i="2"/>
  <c r="BE27" i="2"/>
  <c r="BD27" i="2"/>
  <c r="AK8" i="2"/>
  <c r="R8" i="2"/>
  <c r="AJ8" i="2"/>
  <c r="AI8" i="2"/>
  <c r="AM6" i="2"/>
  <c r="AJ6" i="2"/>
  <c r="AI6" i="2"/>
  <c r="AC37" i="2"/>
  <c r="Z37" i="2"/>
  <c r="Y37" i="2"/>
  <c r="AC25" i="2"/>
  <c r="AA25" i="2"/>
  <c r="Y25" i="2"/>
  <c r="AC24" i="2"/>
  <c r="AA24" i="2"/>
  <c r="Z24" i="2"/>
  <c r="Y24" i="2"/>
  <c r="AC23" i="2"/>
  <c r="AA23" i="2"/>
  <c r="Z23" i="2"/>
  <c r="Y23" i="2"/>
  <c r="AA10" i="2"/>
  <c r="Z10" i="2"/>
  <c r="Y10" i="2"/>
  <c r="AA5" i="2"/>
  <c r="Z5" i="2"/>
  <c r="Y5" i="2"/>
  <c r="CU37" i="2"/>
  <c r="CS37" i="2"/>
  <c r="CR37" i="2"/>
  <c r="CQ37" i="2"/>
  <c r="CI27" i="2"/>
  <c r="CH27" i="2"/>
  <c r="CG27" i="2"/>
  <c r="CI40" i="2"/>
  <c r="CH40" i="2"/>
  <c r="CG40" i="2"/>
  <c r="BY41" i="2"/>
  <c r="BX41" i="2"/>
  <c r="BW41" i="2"/>
  <c r="BY10" i="2"/>
  <c r="BY12" i="2" s="1"/>
  <c r="BX10" i="2"/>
  <c r="BX12" i="2" s="1"/>
  <c r="BW10" i="2"/>
  <c r="BW12" i="2" s="1"/>
  <c r="BO39" i="2"/>
  <c r="BN39" i="2"/>
  <c r="BM39" i="2"/>
  <c r="AU40" i="2"/>
  <c r="AT40" i="2"/>
  <c r="AS40" i="2"/>
  <c r="AU9" i="2"/>
  <c r="AT9" i="2"/>
  <c r="AS9" i="2"/>
  <c r="Q40" i="2"/>
  <c r="P40" i="2"/>
  <c r="O40" i="2"/>
  <c r="AA40" i="2"/>
  <c r="Z40" i="2"/>
  <c r="Y40" i="2"/>
  <c r="AA28" i="2"/>
  <c r="Z28" i="2"/>
  <c r="Y28" i="2"/>
  <c r="Q28" i="2"/>
  <c r="P28" i="2"/>
  <c r="O28" i="2"/>
  <c r="S24" i="2"/>
  <c r="P24" i="2"/>
  <c r="O24" i="2"/>
  <c r="S23" i="2"/>
  <c r="Q23" i="2"/>
  <c r="P23" i="2"/>
  <c r="O23" i="2"/>
  <c r="S5" i="2"/>
  <c r="Q5" i="2"/>
  <c r="P5" i="2"/>
  <c r="O5" i="2"/>
  <c r="G27" i="2"/>
  <c r="F27" i="2"/>
  <c r="E27" i="2"/>
  <c r="G39" i="2"/>
  <c r="F39" i="2"/>
  <c r="E39" i="2"/>
  <c r="H39" i="2" l="1"/>
  <c r="R37" i="2"/>
  <c r="CT12" i="2"/>
  <c r="R40" i="2"/>
  <c r="P42" i="2"/>
  <c r="AL6" i="2"/>
  <c r="Q42" i="2"/>
  <c r="O42" i="2"/>
  <c r="R28" i="2"/>
  <c r="BP39" i="2"/>
  <c r="CJ27" i="2"/>
  <c r="BF27" i="2"/>
  <c r="R23" i="2"/>
  <c r="H26" i="2"/>
  <c r="R5" i="2"/>
  <c r="R24" i="2"/>
  <c r="AV26" i="2"/>
  <c r="AB28" i="2"/>
  <c r="BZ10" i="2"/>
  <c r="BZ12" i="2" s="1"/>
  <c r="CT37" i="2"/>
  <c r="AB5" i="2"/>
  <c r="AV23" i="2"/>
  <c r="BF8" i="2"/>
  <c r="AV5" i="2"/>
  <c r="H27" i="2"/>
  <c r="AB40" i="2"/>
  <c r="AV40" i="2"/>
  <c r="CJ40" i="2"/>
  <c r="AB10" i="2"/>
  <c r="AB23" i="2"/>
  <c r="AB24" i="2"/>
  <c r="AB25" i="2"/>
  <c r="AB26" i="2"/>
  <c r="BZ41" i="2"/>
  <c r="AR12" i="2"/>
  <c r="BB42" i="2"/>
  <c r="C84" i="3"/>
  <c r="W275" i="3"/>
  <c r="C137" i="3"/>
  <c r="N261" i="3"/>
  <c r="N275" i="3" s="1"/>
  <c r="M261" i="3"/>
  <c r="M275" i="3" s="1"/>
  <c r="W164" i="3"/>
  <c r="F164" i="3"/>
  <c r="C163" i="3"/>
  <c r="M79" i="3"/>
  <c r="Y164" i="3"/>
  <c r="AD275" i="3"/>
  <c r="Y275" i="3"/>
  <c r="N41" i="3"/>
  <c r="O70" i="3"/>
  <c r="N70" i="3"/>
  <c r="C19" i="3"/>
  <c r="U221" i="3"/>
  <c r="U164" i="3"/>
  <c r="C146" i="3"/>
  <c r="E164" i="3"/>
  <c r="G164" i="3"/>
  <c r="H164" i="3"/>
  <c r="I164" i="3"/>
  <c r="J164" i="3"/>
  <c r="K164" i="3"/>
  <c r="L164" i="3"/>
  <c r="O164" i="3"/>
  <c r="P164" i="3"/>
  <c r="Q164" i="3"/>
  <c r="R164" i="3"/>
  <c r="S164" i="3"/>
  <c r="T164" i="3"/>
  <c r="V164" i="3"/>
  <c r="X164" i="3"/>
  <c r="Z164" i="3"/>
  <c r="AA164" i="3"/>
  <c r="AB164" i="3"/>
  <c r="AC164" i="3"/>
  <c r="AE164" i="3"/>
  <c r="AF164" i="3"/>
  <c r="AG164" i="3"/>
  <c r="D28" i="3"/>
  <c r="E221" i="3"/>
  <c r="F221" i="3"/>
  <c r="G221" i="3"/>
  <c r="H221" i="3"/>
  <c r="I221" i="3"/>
  <c r="J221" i="3"/>
  <c r="K221" i="3"/>
  <c r="L221" i="3"/>
  <c r="O221" i="3"/>
  <c r="P221" i="3"/>
  <c r="Q221" i="3"/>
  <c r="R221" i="3"/>
  <c r="S221" i="3"/>
  <c r="T221" i="3"/>
  <c r="V221" i="3"/>
  <c r="W221" i="3"/>
  <c r="Y221" i="3"/>
  <c r="Z221" i="3"/>
  <c r="AA221" i="3"/>
  <c r="AB221" i="3"/>
  <c r="AC221" i="3"/>
  <c r="AE221" i="3"/>
  <c r="AF221" i="3"/>
  <c r="AG221" i="3"/>
  <c r="E28" i="3"/>
  <c r="Y234" i="3"/>
  <c r="M234" i="3"/>
  <c r="M42" i="3"/>
  <c r="U42" i="3"/>
  <c r="C92" i="3"/>
  <c r="M71" i="3"/>
  <c r="AD28" i="3"/>
  <c r="O17" i="3"/>
  <c r="O28" i="3" s="1"/>
  <c r="R42" i="2" l="1"/>
  <c r="D164" i="3"/>
  <c r="AD164" i="3"/>
  <c r="CG12" i="2"/>
  <c r="CH12" i="2"/>
  <c r="CI12" i="2"/>
  <c r="CJ12" i="2"/>
  <c r="CK12" i="2"/>
  <c r="CF12" i="2"/>
  <c r="L28" i="3"/>
  <c r="U28" i="3"/>
  <c r="C182" i="3"/>
  <c r="AD221" i="3"/>
  <c r="E249" i="3" l="1"/>
  <c r="F249" i="3"/>
  <c r="G249" i="3"/>
  <c r="H249" i="3"/>
  <c r="I249" i="3"/>
  <c r="J249" i="3"/>
  <c r="K249" i="3"/>
  <c r="L249" i="3"/>
  <c r="C230" i="3"/>
  <c r="O249" i="3"/>
  <c r="P249" i="3"/>
  <c r="Q249" i="3"/>
  <c r="R249" i="3"/>
  <c r="S249" i="3"/>
  <c r="T249" i="3"/>
  <c r="U249" i="3"/>
  <c r="V249" i="3"/>
  <c r="W249" i="3"/>
  <c r="Y249" i="3"/>
  <c r="Z249" i="3"/>
  <c r="AA249" i="3"/>
  <c r="AB249" i="3"/>
  <c r="AC249" i="3"/>
  <c r="AD249" i="3"/>
  <c r="AE249" i="3"/>
  <c r="AF249" i="3"/>
  <c r="AG249" i="3"/>
  <c r="F191" i="3"/>
  <c r="G191" i="3"/>
  <c r="H191" i="3"/>
  <c r="I191" i="3"/>
  <c r="K191" i="3"/>
  <c r="O191" i="3"/>
  <c r="P191" i="3"/>
  <c r="Q191" i="3"/>
  <c r="R191" i="3"/>
  <c r="S191" i="3"/>
  <c r="T191" i="3"/>
  <c r="V191" i="3"/>
  <c r="X191" i="3"/>
  <c r="Z191" i="3"/>
  <c r="AA191" i="3"/>
  <c r="AB191" i="3"/>
  <c r="AC191" i="3"/>
  <c r="AE191" i="3"/>
  <c r="AF191" i="3"/>
  <c r="AG191" i="3"/>
  <c r="U191" i="3"/>
  <c r="E85" i="3"/>
  <c r="F85" i="3"/>
  <c r="G85" i="3"/>
  <c r="H85" i="3"/>
  <c r="I85" i="3"/>
  <c r="J85" i="3"/>
  <c r="K85" i="3"/>
  <c r="M85" i="3"/>
  <c r="O85" i="3"/>
  <c r="P85" i="3"/>
  <c r="Q85" i="3"/>
  <c r="R85" i="3"/>
  <c r="S85" i="3"/>
  <c r="U85" i="3"/>
  <c r="V85" i="3"/>
  <c r="X85" i="3"/>
  <c r="Z85" i="3"/>
  <c r="AA85" i="3"/>
  <c r="AB85" i="3"/>
  <c r="AC85" i="3"/>
  <c r="AE85" i="3"/>
  <c r="AF85" i="3"/>
  <c r="AG85" i="3"/>
  <c r="D85" i="3"/>
  <c r="G56" i="3"/>
  <c r="H56" i="3"/>
  <c r="J56" i="3"/>
  <c r="K56" i="3"/>
  <c r="O56" i="3"/>
  <c r="P56" i="3"/>
  <c r="Q56" i="3"/>
  <c r="R56" i="3"/>
  <c r="S56" i="3"/>
  <c r="T56" i="3"/>
  <c r="U56" i="3"/>
  <c r="V56" i="3"/>
  <c r="W56" i="3"/>
  <c r="Y56" i="3"/>
  <c r="Z56" i="3"/>
  <c r="AA56" i="3"/>
  <c r="AB56" i="3"/>
  <c r="AC56" i="3"/>
  <c r="AD56" i="3"/>
  <c r="AE56" i="3"/>
  <c r="AF56" i="3"/>
  <c r="AG56" i="3"/>
  <c r="M98" i="3"/>
  <c r="N28" i="3"/>
  <c r="L85" i="3" l="1"/>
  <c r="T85" i="3"/>
  <c r="L56" i="3" l="1"/>
  <c r="L191" i="3"/>
  <c r="D249" i="3"/>
  <c r="M249" i="3"/>
  <c r="C220" i="3"/>
  <c r="C171" i="3"/>
  <c r="C156" i="3"/>
  <c r="C130" i="3"/>
  <c r="C119" i="3"/>
  <c r="C76" i="3"/>
  <c r="C66" i="3"/>
  <c r="X50" i="3"/>
  <c r="D50" i="3"/>
  <c r="D56" i="3" s="1"/>
  <c r="M50" i="3"/>
  <c r="X56" i="3" l="1"/>
  <c r="F56" i="3"/>
  <c r="D191" i="3"/>
  <c r="AD191" i="3"/>
  <c r="Y191" i="3"/>
  <c r="W191" i="3"/>
  <c r="E191" i="3"/>
  <c r="I56" i="3"/>
  <c r="X221" i="3"/>
  <c r="N56" i="3"/>
  <c r="M56" i="3"/>
  <c r="X249" i="3"/>
  <c r="N191" i="3"/>
  <c r="M191" i="3"/>
  <c r="J191" i="3"/>
  <c r="M164" i="3"/>
  <c r="N164" i="3"/>
  <c r="N221" i="3" l="1"/>
  <c r="D221" i="3"/>
  <c r="M221" i="3"/>
  <c r="N85" i="3"/>
  <c r="N249" i="3"/>
  <c r="CU42" i="2" l="1"/>
  <c r="F278" i="3"/>
  <c r="G278" i="3"/>
  <c r="H278" i="3"/>
  <c r="I278" i="3"/>
  <c r="J278" i="3"/>
  <c r="K278" i="3"/>
  <c r="L278" i="3"/>
  <c r="M278" i="3"/>
  <c r="N278" i="3"/>
  <c r="O278" i="3"/>
  <c r="P278" i="3"/>
  <c r="Q278" i="3"/>
  <c r="R278" i="3"/>
  <c r="S278" i="3"/>
  <c r="T278" i="3"/>
  <c r="U278" i="3"/>
  <c r="V278" i="3"/>
  <c r="W278" i="3"/>
  <c r="X278" i="3"/>
  <c r="Y278" i="3"/>
  <c r="Z278" i="3"/>
  <c r="AA278" i="3"/>
  <c r="AB278" i="3"/>
  <c r="AC278" i="3"/>
  <c r="AD278" i="3"/>
  <c r="AE278" i="3"/>
  <c r="AF278" i="3"/>
  <c r="AG278" i="3"/>
  <c r="E278" i="3"/>
  <c r="D278" i="3"/>
  <c r="AD85" i="3"/>
  <c r="Y85" i="3"/>
  <c r="W85" i="3"/>
  <c r="E56" i="3"/>
  <c r="BN12" i="2"/>
  <c r="BQ12" i="2"/>
  <c r="BL12" i="2"/>
  <c r="Z12" i="2"/>
  <c r="AC12" i="2"/>
  <c r="X12" i="2"/>
  <c r="BB12" i="2"/>
  <c r="AT12" i="2"/>
  <c r="AW12" i="2"/>
  <c r="CP12" i="2"/>
  <c r="P12" i="2"/>
  <c r="S12" i="2"/>
  <c r="N12" i="2"/>
  <c r="X31" i="2" l="1"/>
  <c r="X42" i="2"/>
  <c r="BV42" i="2"/>
  <c r="BM42" i="2"/>
  <c r="BN42" i="2"/>
  <c r="BO42" i="2"/>
  <c r="BP42" i="2"/>
  <c r="BQ42" i="2"/>
  <c r="BL31" i="2"/>
  <c r="AR42" i="2"/>
  <c r="AR31" i="2"/>
  <c r="AJ12" i="2"/>
  <c r="AM12" i="2"/>
  <c r="AH12" i="2"/>
  <c r="AH31" i="2"/>
  <c r="CP31" i="2"/>
  <c r="N31" i="2"/>
  <c r="D31" i="2"/>
  <c r="E19" i="2"/>
  <c r="D110" i="3"/>
  <c r="E138" i="3"/>
  <c r="F138" i="3"/>
  <c r="G138" i="3"/>
  <c r="H138" i="3"/>
  <c r="I138" i="3"/>
  <c r="J138" i="3"/>
  <c r="K138" i="3"/>
  <c r="L138" i="3"/>
  <c r="M138" i="3"/>
  <c r="N138" i="3"/>
  <c r="O138" i="3"/>
  <c r="P138" i="3"/>
  <c r="Q138" i="3"/>
  <c r="R138" i="3"/>
  <c r="S138" i="3"/>
  <c r="T138" i="3"/>
  <c r="U138" i="3"/>
  <c r="V138" i="3"/>
  <c r="W138" i="3"/>
  <c r="X138" i="3"/>
  <c r="Y138" i="3"/>
  <c r="Z138" i="3"/>
  <c r="AA138" i="3"/>
  <c r="AB138" i="3"/>
  <c r="AC138" i="3"/>
  <c r="AD138" i="3"/>
  <c r="AE138" i="3"/>
  <c r="AF138" i="3"/>
  <c r="AG138" i="3"/>
  <c r="D138" i="3"/>
  <c r="CK42" i="2" l="1"/>
  <c r="CG42" i="2"/>
  <c r="CH42" i="2"/>
  <c r="CI42" i="2"/>
  <c r="CJ42" i="2"/>
  <c r="AW42" i="2" l="1"/>
  <c r="AV42" i="2" l="1"/>
  <c r="AU42" i="2"/>
  <c r="AT42" i="2"/>
  <c r="AS42" i="2"/>
  <c r="CG19" i="2"/>
  <c r="E110" i="3" l="1"/>
  <c r="F110" i="3"/>
  <c r="G110" i="3"/>
  <c r="H110" i="3"/>
  <c r="I110" i="3"/>
  <c r="J110" i="3"/>
  <c r="K110" i="3"/>
  <c r="L110" i="3"/>
  <c r="M110" i="3"/>
  <c r="N110" i="3"/>
  <c r="O110" i="3"/>
  <c r="P110" i="3"/>
  <c r="Q110" i="3"/>
  <c r="R110" i="3"/>
  <c r="S110" i="3"/>
  <c r="T110" i="3"/>
  <c r="U110" i="3"/>
  <c r="V110" i="3"/>
  <c r="W110" i="3"/>
  <c r="X110" i="3"/>
  <c r="Y110" i="3"/>
  <c r="Z110" i="3"/>
  <c r="AA110" i="3"/>
  <c r="AB110" i="3"/>
  <c r="AC110" i="3"/>
  <c r="AD110" i="3"/>
  <c r="AE110" i="3"/>
  <c r="AF110" i="3"/>
  <c r="AG110" i="3"/>
  <c r="CQ42" i="2"/>
  <c r="CR42" i="2"/>
  <c r="CS42" i="2"/>
  <c r="CT42" i="2"/>
  <c r="BG42" i="2"/>
  <c r="CA42" i="2"/>
  <c r="BW42" i="2" l="1"/>
  <c r="G42" i="2"/>
  <c r="BZ42" i="2"/>
  <c r="F42" i="2"/>
  <c r="BY42" i="2"/>
  <c r="BD42" i="2"/>
  <c r="E42" i="2"/>
  <c r="BX42" i="2"/>
  <c r="H42" i="2"/>
  <c r="BC31" i="2" l="1"/>
  <c r="BE31" i="2"/>
  <c r="BF31" i="2"/>
  <c r="BG31" i="2"/>
  <c r="BQ19" i="2" l="1"/>
  <c r="AL12" i="2" l="1"/>
  <c r="AK12" i="2"/>
  <c r="AI12" i="2"/>
  <c r="O31" i="2" l="1"/>
  <c r="AC42" i="2" l="1"/>
  <c r="Z42" i="2"/>
  <c r="CF31" i="2"/>
  <c r="BQ31" i="2"/>
  <c r="BP31" i="2"/>
  <c r="BO31" i="2"/>
  <c r="BN31" i="2"/>
  <c r="BM31" i="2"/>
  <c r="BD31" i="2"/>
  <c r="BY31" i="2"/>
  <c r="AC19" i="2"/>
  <c r="AB19" i="2"/>
  <c r="AA19" i="2"/>
  <c r="Z19" i="2"/>
  <c r="Y19" i="2"/>
  <c r="CK19" i="2"/>
  <c r="CH19" i="2"/>
  <c r="BD19" i="2"/>
  <c r="BC19" i="2"/>
  <c r="CI19" i="2"/>
  <c r="BE19" i="2"/>
  <c r="BG12" i="2"/>
  <c r="BP12" i="2"/>
  <c r="BO12" i="2"/>
  <c r="BM12" i="2"/>
  <c r="BD12" i="2"/>
  <c r="BX31" i="2" l="1"/>
  <c r="CK31" i="2"/>
  <c r="CK45" i="2" s="1"/>
  <c r="CU31" i="2"/>
  <c r="AB12" i="2"/>
  <c r="R12" i="2"/>
  <c r="BC12" i="2"/>
  <c r="BC42" i="2"/>
  <c r="Y12" i="2"/>
  <c r="O12" i="2"/>
  <c r="BE12" i="2"/>
  <c r="BE42" i="2"/>
  <c r="AA12" i="2"/>
  <c r="Q12" i="2"/>
  <c r="BF12" i="2"/>
  <c r="BF42" i="2"/>
  <c r="BZ31" i="2"/>
  <c r="BW31" i="2"/>
  <c r="CA31" i="2"/>
  <c r="Y42" i="2"/>
  <c r="AB31" i="2"/>
  <c r="AC31" i="2"/>
  <c r="AC45" i="2" s="1"/>
  <c r="AA42" i="2"/>
  <c r="AB42" i="2"/>
  <c r="Y31" i="2"/>
  <c r="Z31" i="2"/>
  <c r="Z45" i="2" s="1"/>
  <c r="AA31" i="2"/>
  <c r="CJ19" i="2"/>
  <c r="BF19" i="2"/>
  <c r="AA45" i="2" l="1"/>
  <c r="Y45" i="2"/>
  <c r="BE45" i="2"/>
  <c r="AB45" i="2"/>
  <c r="BD45" i="2"/>
  <c r="BF45" i="2"/>
  <c r="BC45" i="2"/>
  <c r="AV12" i="2"/>
  <c r="AU12" i="2"/>
  <c r="AS12" i="2"/>
  <c r="AT31" i="2" l="1"/>
  <c r="AL31" i="2"/>
  <c r="AV31" i="2"/>
  <c r="AK31" i="2"/>
  <c r="AU31" i="2"/>
  <c r="AS31" i="2"/>
  <c r="AM31" i="2"/>
  <c r="AW31" i="2"/>
  <c r="AI31" i="2"/>
  <c r="AJ31" i="2"/>
  <c r="AW19" i="2"/>
  <c r="AT19" i="2"/>
  <c r="AU19" i="2"/>
  <c r="AS19" i="2"/>
  <c r="AI19" i="2"/>
  <c r="AJ19" i="2"/>
  <c r="E6" i="1"/>
  <c r="C7" i="1"/>
  <c r="C6" i="1"/>
  <c r="I31" i="2"/>
  <c r="H31" i="2"/>
  <c r="G31" i="2"/>
  <c r="F31" i="2"/>
  <c r="E31" i="2"/>
  <c r="CQ31" i="2" l="1"/>
  <c r="CG31" i="2"/>
  <c r="CG45" i="2" s="1"/>
  <c r="CS31" i="2"/>
  <c r="CI31" i="2"/>
  <c r="CI45" i="2" s="1"/>
  <c r="CT31" i="2"/>
  <c r="CJ31" i="2"/>
  <c r="CJ45" i="2" s="1"/>
  <c r="CR31" i="2"/>
  <c r="CH31" i="2"/>
  <c r="CH45" i="2" s="1"/>
  <c r="AT45" i="2"/>
  <c r="AS45" i="2"/>
  <c r="AW45" i="2"/>
  <c r="AV19" i="2"/>
  <c r="AV45" i="2" s="1"/>
  <c r="AI45" i="2"/>
  <c r="AL19" i="2"/>
  <c r="AK19" i="2"/>
  <c r="AM19" i="2"/>
  <c r="S31" i="2"/>
  <c r="R31" i="2"/>
  <c r="Q31" i="2"/>
  <c r="P31" i="2"/>
  <c r="S19" i="2"/>
  <c r="R19" i="2"/>
  <c r="Q19" i="2"/>
  <c r="P19" i="2"/>
  <c r="O19" i="2"/>
  <c r="S45" i="2" l="1"/>
  <c r="AU45" i="2"/>
  <c r="AM45" i="2"/>
  <c r="AL45" i="2"/>
  <c r="AK45" i="2"/>
  <c r="AJ45" i="2"/>
  <c r="F19" i="2"/>
  <c r="G19" i="2"/>
  <c r="H19" i="2"/>
  <c r="I19" i="2"/>
  <c r="O45" i="2" l="1"/>
  <c r="R45" i="2"/>
  <c r="Q45" i="2"/>
  <c r="P45" i="2"/>
  <c r="E8" i="1"/>
  <c r="E7" i="1"/>
  <c r="E5" i="1"/>
  <c r="C8" i="1"/>
  <c r="D8" i="1"/>
  <c r="D7" i="1"/>
  <c r="D6" i="1"/>
  <c r="D5" i="1"/>
  <c r="C5" i="1"/>
  <c r="B9" i="1"/>
  <c r="CQ19" i="2"/>
  <c r="CQ45" i="2" s="1"/>
  <c r="CR19" i="2"/>
  <c r="CR45" i="2" s="1"/>
  <c r="CS19" i="2"/>
  <c r="CS45" i="2" s="1"/>
  <c r="CT19" i="2"/>
  <c r="CT45" i="2" s="1"/>
  <c r="CU19" i="2"/>
  <c r="CU45" i="2" s="1"/>
  <c r="BM19" i="2"/>
  <c r="BM45" i="2" s="1"/>
  <c r="BN19" i="2"/>
  <c r="BN45" i="2" s="1"/>
  <c r="BO19" i="2"/>
  <c r="BO45" i="2" s="1"/>
  <c r="BP19" i="2"/>
  <c r="BP45" i="2" s="1"/>
  <c r="BW19" i="2"/>
  <c r="BW45" i="2" s="1"/>
  <c r="BX19" i="2"/>
  <c r="BX45" i="2" s="1"/>
  <c r="BY19" i="2"/>
  <c r="BY45" i="2" s="1"/>
  <c r="BZ19" i="2"/>
  <c r="BZ45" i="2" s="1"/>
  <c r="CA19" i="2"/>
  <c r="CA45" i="2" s="1"/>
  <c r="D277" i="3"/>
  <c r="D280" i="3" s="1"/>
  <c r="E277" i="3"/>
  <c r="E280" i="3" s="1"/>
  <c r="F277" i="3"/>
  <c r="F280" i="3" s="1"/>
  <c r="G277" i="3"/>
  <c r="G280" i="3" s="1"/>
  <c r="H277" i="3"/>
  <c r="H280" i="3" s="1"/>
  <c r="I277" i="3"/>
  <c r="I280" i="3" s="1"/>
  <c r="J277" i="3"/>
  <c r="J280" i="3" s="1"/>
  <c r="K277" i="3"/>
  <c r="K280" i="3" s="1"/>
  <c r="L277" i="3"/>
  <c r="L280" i="3" s="1"/>
  <c r="M277" i="3"/>
  <c r="M280" i="3" s="1"/>
  <c r="N277" i="3"/>
  <c r="N280" i="3" s="1"/>
  <c r="O277" i="3"/>
  <c r="O280" i="3" s="1"/>
  <c r="P277" i="3"/>
  <c r="P280" i="3" s="1"/>
  <c r="Q277" i="3"/>
  <c r="Q280" i="3" s="1"/>
  <c r="R277" i="3"/>
  <c r="S277" i="3"/>
  <c r="S280" i="3" s="1"/>
  <c r="T277" i="3"/>
  <c r="T280" i="3" s="1"/>
  <c r="U277" i="3"/>
  <c r="U280" i="3" s="1"/>
  <c r="V277" i="3"/>
  <c r="V280" i="3" s="1"/>
  <c r="W277" i="3"/>
  <c r="W280" i="3" s="1"/>
  <c r="X277" i="3"/>
  <c r="X280" i="3" s="1"/>
  <c r="Y277" i="3"/>
  <c r="Y280" i="3" s="1"/>
  <c r="Z277" i="3"/>
  <c r="Z280" i="3" s="1"/>
  <c r="AA277" i="3"/>
  <c r="AA280" i="3" s="1"/>
  <c r="AB277" i="3"/>
  <c r="AB280" i="3" s="1"/>
  <c r="AC277" i="3"/>
  <c r="AC280" i="3" s="1"/>
  <c r="AD277" i="3"/>
  <c r="AD280" i="3" s="1"/>
  <c r="AE277" i="3"/>
  <c r="AE280" i="3" s="1"/>
  <c r="AF277" i="3"/>
  <c r="AF280" i="3" s="1"/>
  <c r="AG277" i="3"/>
  <c r="AG280" i="3" s="1"/>
  <c r="E45" i="2"/>
  <c r="F45" i="2"/>
  <c r="G45" i="2"/>
  <c r="H45" i="2"/>
  <c r="I45" i="2"/>
</calcChain>
</file>

<file path=xl/sharedStrings.xml><?xml version="1.0" encoding="utf-8"?>
<sst xmlns="http://schemas.openxmlformats.org/spreadsheetml/2006/main" count="735" uniqueCount="239">
  <si>
    <t>2 завтрак</t>
  </si>
  <si>
    <t>Для детей с дневным пребываанием 12 ч</t>
  </si>
  <si>
    <t>Эц</t>
  </si>
  <si>
    <t>% в т.ч.животный</t>
  </si>
  <si>
    <t>Белок, г</t>
  </si>
  <si>
    <t>Жиры, г</t>
  </si>
  <si>
    <t>Углеводы, г</t>
  </si>
  <si>
    <t>3-7 лет</t>
  </si>
  <si>
    <t>Сан ПиН 2.4.1.3049-13</t>
  </si>
  <si>
    <t>Б</t>
  </si>
  <si>
    <t>Ж</t>
  </si>
  <si>
    <t>У</t>
  </si>
  <si>
    <t>ЭЦ</t>
  </si>
  <si>
    <t>%, распределение</t>
  </si>
  <si>
    <t>Белки</t>
  </si>
  <si>
    <t>Жиры</t>
  </si>
  <si>
    <t>Углеводы</t>
  </si>
  <si>
    <t xml:space="preserve"> Завтрак</t>
  </si>
  <si>
    <t>Обед</t>
  </si>
  <si>
    <t xml:space="preserve"> Ужин (уплотнённый полдник)</t>
  </si>
  <si>
    <t>Энергетическая ценность, ккал</t>
  </si>
  <si>
    <t>Приём пищи</t>
  </si>
  <si>
    <t>Наименование блюда</t>
  </si>
  <si>
    <t>Выход блюда, г</t>
  </si>
  <si>
    <t>Пищевые вещества</t>
  </si>
  <si>
    <t>Витамин С</t>
  </si>
  <si>
    <t>№ рецептуры</t>
  </si>
  <si>
    <t>День 1</t>
  </si>
  <si>
    <t>Завтрак</t>
  </si>
  <si>
    <t>Ужин (уплотнённый полдник)</t>
  </si>
  <si>
    <t>Норма, г, не менее</t>
  </si>
  <si>
    <t>Кофейный напиток с молоком</t>
  </si>
  <si>
    <t>Фактическое содержание, г</t>
  </si>
  <si>
    <t>Хлеб пшеничный</t>
  </si>
  <si>
    <t>ИТОГО за 1 день</t>
  </si>
  <si>
    <t xml:space="preserve">Сыр российский </t>
  </si>
  <si>
    <t>День 2</t>
  </si>
  <si>
    <t>Фрукты свежие</t>
  </si>
  <si>
    <t>Пюре картофельное</t>
  </si>
  <si>
    <t>День 3</t>
  </si>
  <si>
    <t>День 4</t>
  </si>
  <si>
    <t>Какао с молоком</t>
  </si>
  <si>
    <t>Кисель молочный</t>
  </si>
  <si>
    <t>Картофель отварной</t>
  </si>
  <si>
    <t>*</t>
  </si>
  <si>
    <t>№ поСб</t>
  </si>
  <si>
    <t>Название</t>
  </si>
  <si>
    <t>Выход</t>
  </si>
  <si>
    <t>сметана</t>
  </si>
  <si>
    <t>сыр твердый</t>
  </si>
  <si>
    <t>Мясо</t>
  </si>
  <si>
    <t>Птица</t>
  </si>
  <si>
    <t>Рыба</t>
  </si>
  <si>
    <t>Яйцо</t>
  </si>
  <si>
    <t>Картофель</t>
  </si>
  <si>
    <t>творог</t>
  </si>
  <si>
    <t>молоко и кисломол</t>
  </si>
  <si>
    <t>Овощи/ зелень</t>
  </si>
  <si>
    <t>Фрукты сухие</t>
  </si>
  <si>
    <t>Соки</t>
  </si>
  <si>
    <t>Напит. витам</t>
  </si>
  <si>
    <t>Хлеб ржан</t>
  </si>
  <si>
    <t>Хлеб пшенич</t>
  </si>
  <si>
    <t>Крупы, бобовые</t>
  </si>
  <si>
    <t>Макарон. Издел</t>
  </si>
  <si>
    <t>Мука пшеничн</t>
  </si>
  <si>
    <t>Масло раст</t>
  </si>
  <si>
    <t>Кондит. Изделия</t>
  </si>
  <si>
    <t>Чай</t>
  </si>
  <si>
    <t>Какао-порошок</t>
  </si>
  <si>
    <t>Коф. Напит</t>
  </si>
  <si>
    <t>Сахар</t>
  </si>
  <si>
    <t>Дрожжи</t>
  </si>
  <si>
    <t>Крахмал</t>
  </si>
  <si>
    <t>Соль</t>
  </si>
  <si>
    <t>Масло слив</t>
  </si>
  <si>
    <t>День 5</t>
  </si>
  <si>
    <t>Крендель сахарный</t>
  </si>
  <si>
    <t>День 6</t>
  </si>
  <si>
    <t>Итого</t>
  </si>
  <si>
    <t>День 7</t>
  </si>
  <si>
    <t>День 8</t>
  </si>
  <si>
    <t>День 9</t>
  </si>
  <si>
    <t>День 10</t>
  </si>
  <si>
    <t>Макароны отварные с маслом</t>
  </si>
  <si>
    <t>Картофель в молоке</t>
  </si>
  <si>
    <t>Каша манная жидкая с сахаром</t>
  </si>
  <si>
    <t>Сметана</t>
  </si>
  <si>
    <t>Пудинг из творога с рисом и изюмом</t>
  </si>
  <si>
    <t>*475</t>
  </si>
  <si>
    <t>ИТОГО (фактически)</t>
  </si>
  <si>
    <t>Итого (нормативное)</t>
  </si>
  <si>
    <t xml:space="preserve">Отклонение </t>
  </si>
  <si>
    <t>Кекс "Детский"</t>
  </si>
  <si>
    <t>Норма на 1 день по СанПиН</t>
  </si>
  <si>
    <t>Икра овощная</t>
  </si>
  <si>
    <t>Щи из квашенной капусты с картофелем</t>
  </si>
  <si>
    <t>Суп картофельный с крупой</t>
  </si>
  <si>
    <t>Мясо тушеное с овощами в соусе</t>
  </si>
  <si>
    <t>Биточки рубленые из птицы</t>
  </si>
  <si>
    <t>Котлеты рыбные любительские</t>
  </si>
  <si>
    <t>Шницель рубленый (из говядины)</t>
  </si>
  <si>
    <t>Фрикадельки из птицы</t>
  </si>
  <si>
    <t>Суфле мясное из говядины с тыквой</t>
  </si>
  <si>
    <t>Рыба, запечённая с морковью</t>
  </si>
  <si>
    <t xml:space="preserve">Рыба отварная </t>
  </si>
  <si>
    <t>Тефтели рыбные тушёные</t>
  </si>
  <si>
    <t>Кнели рыбные</t>
  </si>
  <si>
    <t>Морковь, тушенная в сметанном соусе</t>
  </si>
  <si>
    <t xml:space="preserve">Пюре из овощей </t>
  </si>
  <si>
    <t>Горшек зелёный консервированный</t>
  </si>
  <si>
    <t>Суфле из отварного мяса с рисом</t>
  </si>
  <si>
    <t xml:space="preserve">Тефтели мясные </t>
  </si>
  <si>
    <t xml:space="preserve">Голубцы ленивые </t>
  </si>
  <si>
    <t>Суп молочный манный</t>
  </si>
  <si>
    <t>*714</t>
  </si>
  <si>
    <t>Рагу овощное с картофелем</t>
  </si>
  <si>
    <t>Булочка обогащенная с изюмом</t>
  </si>
  <si>
    <t>Каша вязкая (рисовая)</t>
  </si>
  <si>
    <t>Каша гречнево-пшёная жидкая с сахаром</t>
  </si>
  <si>
    <t>Каша пшённая жидкая с сахаром</t>
  </si>
  <si>
    <t>Ватрушка с повидлом</t>
  </si>
  <si>
    <t xml:space="preserve">Булочка "Розовая" </t>
  </si>
  <si>
    <t>350-450</t>
  </si>
  <si>
    <t>450-550</t>
  </si>
  <si>
    <t>400-500</t>
  </si>
  <si>
    <t>Бутерброд с маслом сливочным</t>
  </si>
  <si>
    <t xml:space="preserve">Пудинг из говядины  </t>
  </si>
  <si>
    <t>Рассольник на курином бульоне (мелкошинкованный)</t>
  </si>
  <si>
    <t>Борщ  вегетарианский (мелкошинкованный)</t>
  </si>
  <si>
    <t>Суфле из моркови с творогом</t>
  </si>
  <si>
    <t>Бутерброд с  сыром российским</t>
  </si>
  <si>
    <t>Зразы из творога с изюмом</t>
  </si>
  <si>
    <t>Суп молочный с крупой (ячневой)</t>
  </si>
  <si>
    <t>Суп молочный с крупой (рисовой)</t>
  </si>
  <si>
    <t>Овощи отварные с маслом</t>
  </si>
  <si>
    <t>Салат из свёклы</t>
  </si>
  <si>
    <t>Салат из моркови и яблок</t>
  </si>
  <si>
    <t>Икра свекольная</t>
  </si>
  <si>
    <t>Икра морковная</t>
  </si>
  <si>
    <t>Омлет с морковью</t>
  </si>
  <si>
    <t>Суп картофельный с клёцками № 119          (170/10)</t>
  </si>
  <si>
    <t xml:space="preserve">Бутерброд с маслом сливочным </t>
  </si>
  <si>
    <t xml:space="preserve">Сырники из творога     </t>
  </si>
  <si>
    <t xml:space="preserve">Сырники из творога </t>
  </si>
  <si>
    <t>Суп картофельный с клёцками (170/10)</t>
  </si>
  <si>
    <t>Компот из свежих плодов</t>
  </si>
  <si>
    <t>Рассольник на курином бульоне мелкошинкованный)</t>
  </si>
  <si>
    <t>Зразы куриные с омлетом и овощами</t>
  </si>
  <si>
    <t>Бутерброд  с сыром российским</t>
  </si>
  <si>
    <t>Суп с рыбными фрикадельками</t>
  </si>
  <si>
    <t>Хлеб ржаной, ржано-пшеничный</t>
  </si>
  <si>
    <t xml:space="preserve">Молоко кипяченое </t>
  </si>
  <si>
    <t>Каша рассыпчатая</t>
  </si>
  <si>
    <t>Пирожки печеные из дрожевого теста</t>
  </si>
  <si>
    <r>
      <t xml:space="preserve">День 6 </t>
    </r>
    <r>
      <rPr>
        <i/>
        <sz val="11"/>
        <rFont val="Calibri"/>
        <family val="2"/>
        <charset val="204"/>
        <scheme val="minor"/>
      </rPr>
      <t>(зима 1-3)=3</t>
    </r>
  </si>
  <si>
    <t xml:space="preserve">Коржики молочные </t>
  </si>
  <si>
    <t xml:space="preserve">Кофейный напиток с молоком </t>
  </si>
  <si>
    <t>Соус фруктовый</t>
  </si>
  <si>
    <t>Кисель из сока</t>
  </si>
  <si>
    <t xml:space="preserve">Суп молочный рисовый </t>
  </si>
  <si>
    <t>Коржик молочный</t>
  </si>
  <si>
    <t>Пюре картофельное с морковью</t>
  </si>
  <si>
    <t>Суп молочный с  крупой</t>
  </si>
  <si>
    <t>Кисель из сушеных фруктов</t>
  </si>
  <si>
    <t>Напиток кисломолочный</t>
  </si>
  <si>
    <t>Сыр порциями Российский</t>
  </si>
  <si>
    <t>Борщ из квашеной капусты  и картофеля</t>
  </si>
  <si>
    <t>Молоко кипяченое</t>
  </si>
  <si>
    <t>Сок  овощной, фруктовый и ягодный</t>
  </si>
  <si>
    <t>Тефтели из говядины</t>
  </si>
  <si>
    <t>Чай с сахаром                     150/10</t>
  </si>
  <si>
    <t>Компот  из свежих плодов</t>
  </si>
  <si>
    <t>Бутерброд с повидлом</t>
  </si>
  <si>
    <t>Салат из белокочанной капусты</t>
  </si>
  <si>
    <t>Салат из моркови и я блок</t>
  </si>
  <si>
    <r>
      <t xml:space="preserve">День 1  </t>
    </r>
    <r>
      <rPr>
        <i/>
        <sz val="11"/>
        <rFont val="Calibri"/>
        <family val="2"/>
        <charset val="204"/>
        <scheme val="minor"/>
      </rPr>
      <t>(зима 1-3)=10</t>
    </r>
  </si>
  <si>
    <r>
      <t xml:space="preserve">День 2 </t>
    </r>
    <r>
      <rPr>
        <i/>
        <sz val="11"/>
        <rFont val="Calibri"/>
        <family val="2"/>
        <charset val="204"/>
        <scheme val="minor"/>
      </rPr>
      <t>(зима 1-3)=8</t>
    </r>
  </si>
  <si>
    <t>Бутерброд с маслом сливочным и повидлом</t>
  </si>
  <si>
    <r>
      <t xml:space="preserve">День 3 </t>
    </r>
    <r>
      <rPr>
        <i/>
        <sz val="11"/>
        <rFont val="Calibri"/>
        <family val="2"/>
        <charset val="204"/>
        <scheme val="minor"/>
      </rPr>
      <t>(зима 1-3)=2</t>
    </r>
  </si>
  <si>
    <t>Пирожки печеные из дрожевого теста  с повидлом</t>
  </si>
  <si>
    <r>
      <t xml:space="preserve">День 4 </t>
    </r>
    <r>
      <rPr>
        <i/>
        <sz val="11"/>
        <rFont val="Calibri"/>
        <family val="2"/>
        <charset val="204"/>
        <scheme val="minor"/>
      </rPr>
      <t>(зима 1-3)=5</t>
    </r>
  </si>
  <si>
    <t>Пирожки печеные  из дрожжевого теста с повидломс яблоками и изюмом</t>
  </si>
  <si>
    <r>
      <t xml:space="preserve">День 5 </t>
    </r>
    <r>
      <rPr>
        <i/>
        <sz val="11"/>
        <rFont val="Calibri"/>
        <family val="2"/>
        <charset val="204"/>
        <scheme val="minor"/>
      </rPr>
      <t>(зима 1-3)=6</t>
    </r>
  </si>
  <si>
    <t>Борщ с квашеной капустой и картофелем</t>
  </si>
  <si>
    <r>
      <t xml:space="preserve">День 7 </t>
    </r>
    <r>
      <rPr>
        <i/>
        <sz val="11"/>
        <rFont val="Calibri"/>
        <family val="2"/>
        <charset val="204"/>
        <scheme val="minor"/>
      </rPr>
      <t>(зима 1-3)=1</t>
    </r>
  </si>
  <si>
    <t>Пудинг из творога с рисом (запеченый)</t>
  </si>
  <si>
    <t>Пудинг из творога с рисом  (запеченый)</t>
  </si>
  <si>
    <t>13.99</t>
  </si>
  <si>
    <t>Соус фруктовый (яблочный)</t>
  </si>
  <si>
    <r>
      <t xml:space="preserve">День 8 </t>
    </r>
    <r>
      <rPr>
        <i/>
        <sz val="11"/>
        <rFont val="Calibri"/>
        <family val="2"/>
        <charset val="204"/>
        <scheme val="minor"/>
      </rPr>
      <t>(зима 1-3)=9</t>
    </r>
  </si>
  <si>
    <r>
      <t xml:space="preserve">День 9 </t>
    </r>
    <r>
      <rPr>
        <i/>
        <sz val="11"/>
        <rFont val="Calibri"/>
        <family val="2"/>
        <charset val="204"/>
        <scheme val="minor"/>
      </rPr>
      <t>(зима 1-3)=4</t>
    </r>
  </si>
  <si>
    <t>Зеленый горошек  консервированный</t>
  </si>
  <si>
    <t xml:space="preserve">Пюре картофельное с морковью </t>
  </si>
  <si>
    <r>
      <t xml:space="preserve">День 10 </t>
    </r>
    <r>
      <rPr>
        <i/>
        <sz val="11"/>
        <rFont val="Calibri"/>
        <family val="2"/>
        <charset val="204"/>
        <scheme val="minor"/>
      </rPr>
      <t>(зима 1-3)=7</t>
    </r>
  </si>
  <si>
    <t>Суп молочный с крупой</t>
  </si>
  <si>
    <t>Субпродукты</t>
  </si>
  <si>
    <t>Омлет паровой с мясом</t>
  </si>
  <si>
    <t>Яйцо отварное</t>
  </si>
  <si>
    <t>Горошек зелёный консервированный</t>
  </si>
  <si>
    <t>ёёё</t>
  </si>
  <si>
    <t>Кондитерское изделие</t>
  </si>
  <si>
    <t>Салат из квашеной капусты с зеленым горошком</t>
  </si>
  <si>
    <t>Печень по стогановски с соусом</t>
  </si>
  <si>
    <t>Булочка "Осенняя"</t>
  </si>
  <si>
    <t>Суп картофельный с бобовыми</t>
  </si>
  <si>
    <t>Салат из свеклы с огурцами солеными</t>
  </si>
  <si>
    <t xml:space="preserve">Картофель отварной </t>
  </si>
  <si>
    <t>Оладьи из печени " по-Кунцевски"</t>
  </si>
  <si>
    <t>Рагу овощное с картофелем (с соусом)</t>
  </si>
  <si>
    <t xml:space="preserve">Чай с повидлом           </t>
  </si>
  <si>
    <t>Салат из моркови с сахаром</t>
  </si>
  <si>
    <t>Салат из квашеной капусты  с зеленым горошком</t>
  </si>
  <si>
    <t xml:space="preserve">Суп с рыбными фрикадельками </t>
  </si>
  <si>
    <t>Оладьи из творога</t>
  </si>
  <si>
    <t>Салат из кукурузы (консервированной)</t>
  </si>
  <si>
    <t>Оладьи из печени  " по-Кунцевски"</t>
  </si>
  <si>
    <t>Птица отварная (с соусом сметанным) 50/25</t>
  </si>
  <si>
    <t>Горошек зеленый консервированный</t>
  </si>
  <si>
    <t>Печень по-стогановски</t>
  </si>
  <si>
    <t>Чай с сахаром                     150/5</t>
  </si>
  <si>
    <t>Птица отварная с соусом сметанным 50/25</t>
  </si>
  <si>
    <t xml:space="preserve">Чай с молоком                  </t>
  </si>
  <si>
    <t xml:space="preserve">Чай с молоком           </t>
  </si>
  <si>
    <t xml:space="preserve">Чай с молоком                </t>
  </si>
  <si>
    <t xml:space="preserve">Чай с молоком                 </t>
  </si>
  <si>
    <t>Запеканка картофельная  с печенью</t>
  </si>
  <si>
    <t>Запеканка картофельная с печенью или мясом</t>
  </si>
  <si>
    <t>Салат из свеклы с солеными огурцами</t>
  </si>
  <si>
    <t>Салат из кукурузы консервиров.</t>
  </si>
  <si>
    <t>Оладьи из печени  по-Кунцевски"</t>
  </si>
  <si>
    <t xml:space="preserve">Чай с сахаром                   </t>
  </si>
  <si>
    <t xml:space="preserve">Чай с сахаром               </t>
  </si>
  <si>
    <t>Салат из кукурузы консерв.</t>
  </si>
  <si>
    <t xml:space="preserve">Чай с сахаром                     </t>
  </si>
  <si>
    <t>фрукты свежие</t>
  </si>
  <si>
    <t xml:space="preserve">Чай с молоком             </t>
  </si>
  <si>
    <t xml:space="preserve">Чай с повидлом      160/10  </t>
  </si>
  <si>
    <r>
      <t xml:space="preserve">Соус фруктовый </t>
    </r>
    <r>
      <rPr>
        <sz val="11"/>
        <color rgb="FFFF0000"/>
        <rFont val="Calibri"/>
        <family val="2"/>
        <charset val="204"/>
        <scheme val="minor"/>
      </rPr>
      <t>(яблочный)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</si>
</sst>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sz val="8"/>
      <color rgb="FFFF0000"/>
      <name val="Calibri"/>
      <family val="2"/>
      <charset val="204"/>
      <scheme val="minor"/>
    </font>
    <font>
      <sz val="8"/>
      <color rgb="FFF36447"/>
      <name val="Calibri"/>
      <family val="2"/>
      <charset val="204"/>
      <scheme val="minor"/>
    </font>
    <font>
      <sz val="8"/>
      <color rgb="FFF36447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i/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8"/>
      <color rgb="FFC00000"/>
      <name val="Calibri"/>
      <family val="2"/>
      <charset val="204"/>
      <scheme val="minor"/>
    </font>
    <font>
      <sz val="8"/>
      <color rgb="FFC00000"/>
      <name val="Calibri"/>
      <family val="2"/>
      <scheme val="minor"/>
    </font>
    <font>
      <sz val="8"/>
      <color theme="1" tint="4.9989318521683403E-2"/>
      <name val="Calibri"/>
      <family val="2"/>
      <charset val="204"/>
      <scheme val="minor"/>
    </font>
    <font>
      <sz val="11"/>
      <color rgb="FFC00000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sz val="11"/>
      <color rgb="FFC00000"/>
      <name val="Times New Roman"/>
      <family val="1"/>
      <charset val="204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83">
    <xf numFmtId="0" fontId="0" fillId="0" borderId="0" xfId="0"/>
    <xf numFmtId="0" fontId="0" fillId="0" borderId="1" xfId="0" applyBorder="1"/>
    <xf numFmtId="0" fontId="0" fillId="2" borderId="1" xfId="0" applyFill="1" applyBorder="1"/>
    <xf numFmtId="164" fontId="0" fillId="2" borderId="1" xfId="0" applyNumberFormat="1" applyFill="1" applyBorder="1"/>
    <xf numFmtId="0" fontId="2" fillId="2" borderId="1" xfId="0" applyFont="1" applyFill="1" applyBorder="1" applyAlignment="1">
      <alignment horizontal="center"/>
    </xf>
    <xf numFmtId="0" fontId="5" fillId="5" borderId="1" xfId="0" applyFont="1" applyFill="1" applyBorder="1"/>
    <xf numFmtId="0" fontId="7" fillId="5" borderId="1" xfId="0" applyFont="1" applyFill="1" applyBorder="1"/>
    <xf numFmtId="0" fontId="5" fillId="5" borderId="0" xfId="0" applyFont="1" applyFill="1"/>
    <xf numFmtId="0" fontId="5" fillId="2" borderId="1" xfId="0" applyFont="1" applyFill="1" applyBorder="1"/>
    <xf numFmtId="0" fontId="9" fillId="2" borderId="1" xfId="0" applyFont="1" applyFill="1" applyBorder="1"/>
    <xf numFmtId="0" fontId="9" fillId="2" borderId="1" xfId="0" applyFont="1" applyFill="1" applyBorder="1" applyAlignment="1">
      <alignment horizontal="right"/>
    </xf>
    <xf numFmtId="0" fontId="9" fillId="2" borderId="0" xfId="0" applyFont="1" applyFill="1"/>
    <xf numFmtId="0" fontId="7" fillId="2" borderId="1" xfId="0" applyFont="1" applyFill="1" applyBorder="1"/>
    <xf numFmtId="0" fontId="5" fillId="2" borderId="0" xfId="0" applyFont="1" applyFill="1"/>
    <xf numFmtId="0" fontId="11" fillId="2" borderId="1" xfId="0" applyFont="1" applyFill="1" applyBorder="1"/>
    <xf numFmtId="0" fontId="11" fillId="2" borderId="1" xfId="0" applyFont="1" applyFill="1" applyBorder="1" applyAlignment="1">
      <alignment horizontal="left" indent="1"/>
    </xf>
    <xf numFmtId="0" fontId="11" fillId="2" borderId="1" xfId="0" applyFont="1" applyFill="1" applyBorder="1" applyAlignment="1">
      <alignment horizontal="right"/>
    </xf>
    <xf numFmtId="0" fontId="9" fillId="2" borderId="1" xfId="0" applyFont="1" applyFill="1" applyBorder="1" applyAlignment="1">
      <alignment horizontal="left" indent="1"/>
    </xf>
    <xf numFmtId="0" fontId="6" fillId="5" borderId="0" xfId="0" applyFont="1" applyFill="1"/>
    <xf numFmtId="0" fontId="9" fillId="5" borderId="1" xfId="0" applyFont="1" applyFill="1" applyBorder="1"/>
    <xf numFmtId="0" fontId="9" fillId="5" borderId="1" xfId="0" applyFont="1" applyFill="1" applyBorder="1" applyAlignment="1">
      <alignment horizontal="left" indent="1"/>
    </xf>
    <xf numFmtId="0" fontId="9" fillId="5" borderId="0" xfId="0" applyFont="1" applyFill="1"/>
    <xf numFmtId="0" fontId="6" fillId="5" borderId="1" xfId="0" applyFont="1" applyFill="1" applyBorder="1"/>
    <xf numFmtId="0" fontId="6" fillId="5" borderId="1" xfId="0" applyFont="1" applyFill="1" applyBorder="1" applyAlignment="1">
      <alignment horizontal="left" indent="1"/>
    </xf>
    <xf numFmtId="0" fontId="6" fillId="2" borderId="1" xfId="0" applyFont="1" applyFill="1" applyBorder="1"/>
    <xf numFmtId="0" fontId="6" fillId="2" borderId="0" xfId="0" applyFont="1" applyFill="1"/>
    <xf numFmtId="0" fontId="5" fillId="7" borderId="1" xfId="0" applyFont="1" applyFill="1" applyBorder="1"/>
    <xf numFmtId="0" fontId="5" fillId="7" borderId="0" xfId="0" applyFont="1" applyFill="1"/>
    <xf numFmtId="0" fontId="11" fillId="5" borderId="6" xfId="0" applyFont="1" applyFill="1" applyBorder="1"/>
    <xf numFmtId="0" fontId="11" fillId="5" borderId="5" xfId="0" applyFont="1" applyFill="1" applyBorder="1" applyAlignment="1">
      <alignment horizontal="right"/>
    </xf>
    <xf numFmtId="0" fontId="11" fillId="5" borderId="1" xfId="0" applyFont="1" applyFill="1" applyBorder="1"/>
    <xf numFmtId="0" fontId="4" fillId="7" borderId="6" xfId="0" applyFont="1" applyFill="1" applyBorder="1"/>
    <xf numFmtId="0" fontId="4" fillId="7" borderId="5" xfId="0" applyFont="1" applyFill="1" applyBorder="1" applyAlignment="1">
      <alignment horizontal="left"/>
    </xf>
    <xf numFmtId="0" fontId="4" fillId="7" borderId="1" xfId="0" applyFont="1" applyFill="1" applyBorder="1"/>
    <xf numFmtId="0" fontId="3" fillId="7" borderId="1" xfId="0" applyFont="1" applyFill="1" applyBorder="1"/>
    <xf numFmtId="0" fontId="3" fillId="7" borderId="0" xfId="0" applyFont="1" applyFill="1"/>
    <xf numFmtId="0" fontId="3" fillId="7" borderId="1" xfId="0" applyFont="1" applyFill="1" applyBorder="1" applyAlignment="1">
      <alignment horizontal="left"/>
    </xf>
    <xf numFmtId="0" fontId="3" fillId="9" borderId="1" xfId="0" applyFont="1" applyFill="1" applyBorder="1"/>
    <xf numFmtId="2" fontId="3" fillId="9" borderId="1" xfId="0" applyNumberFormat="1" applyFont="1" applyFill="1" applyBorder="1"/>
    <xf numFmtId="0" fontId="3" fillId="9" borderId="0" xfId="0" applyFont="1" applyFill="1"/>
    <xf numFmtId="0" fontId="9" fillId="7" borderId="0" xfId="0" applyFont="1" applyFill="1"/>
    <xf numFmtId="0" fontId="6" fillId="7" borderId="0" xfId="0" applyFont="1" applyFill="1"/>
    <xf numFmtId="0" fontId="13" fillId="5" borderId="1" xfId="0" applyFont="1" applyFill="1" applyBorder="1" applyAlignment="1">
      <alignment horizontal="left"/>
    </xf>
    <xf numFmtId="0" fontId="14" fillId="5" borderId="1" xfId="0" applyFont="1" applyFill="1" applyBorder="1" applyAlignment="1">
      <alignment horizontal="left"/>
    </xf>
    <xf numFmtId="0" fontId="13" fillId="5" borderId="5" xfId="0" applyFont="1" applyFill="1" applyBorder="1" applyAlignment="1">
      <alignment horizontal="left"/>
    </xf>
    <xf numFmtId="0" fontId="6" fillId="0" borderId="1" xfId="0" applyFont="1" applyFill="1" applyBorder="1"/>
    <xf numFmtId="0" fontId="5" fillId="0" borderId="1" xfId="0" applyFont="1" applyFill="1" applyBorder="1"/>
    <xf numFmtId="0" fontId="5" fillId="0" borderId="0" xfId="0" applyFont="1" applyFill="1"/>
    <xf numFmtId="0" fontId="7" fillId="0" borderId="1" xfId="0" applyFont="1" applyFill="1" applyBorder="1"/>
    <xf numFmtId="0" fontId="6" fillId="0" borderId="0" xfId="0" applyFont="1" applyFill="1"/>
    <xf numFmtId="0" fontId="13" fillId="0" borderId="1" xfId="0" applyFont="1" applyFill="1" applyBorder="1"/>
    <xf numFmtId="0" fontId="8" fillId="0" borderId="1" xfId="0" applyFont="1" applyFill="1" applyBorder="1"/>
    <xf numFmtId="0" fontId="5" fillId="0" borderId="3" xfId="0" applyFont="1" applyFill="1" applyBorder="1"/>
    <xf numFmtId="0" fontId="6" fillId="0" borderId="2" xfId="0" applyFont="1" applyFill="1" applyBorder="1"/>
    <xf numFmtId="0" fontId="15" fillId="5" borderId="1" xfId="0" applyFont="1" applyFill="1" applyBorder="1" applyAlignment="1">
      <alignment horizontal="left"/>
    </xf>
    <xf numFmtId="0" fontId="6" fillId="0" borderId="3" xfId="0" applyFont="1" applyFill="1" applyBorder="1"/>
    <xf numFmtId="0" fontId="13" fillId="0" borderId="1" xfId="0" applyFont="1" applyFill="1" applyBorder="1" applyAlignment="1">
      <alignment horizontal="left"/>
    </xf>
    <xf numFmtId="0" fontId="13" fillId="0" borderId="0" xfId="0" applyFont="1" applyFill="1"/>
    <xf numFmtId="0" fontId="7" fillId="0" borderId="0" xfId="0" applyFont="1" applyFill="1"/>
    <xf numFmtId="0" fontId="14" fillId="0" borderId="1" xfId="0" applyFont="1" applyFill="1" applyBorder="1" applyAlignment="1">
      <alignment horizontal="left"/>
    </xf>
    <xf numFmtId="0" fontId="7" fillId="0" borderId="5" xfId="0" applyFont="1" applyFill="1" applyBorder="1"/>
    <xf numFmtId="0" fontId="9" fillId="8" borderId="1" xfId="0" applyFont="1" applyFill="1" applyBorder="1" applyAlignment="1">
      <alignment vertical="top" wrapText="1"/>
    </xf>
    <xf numFmtId="0" fontId="9" fillId="8" borderId="1" xfId="0" applyFont="1" applyFill="1" applyBorder="1" applyAlignment="1">
      <alignment wrapText="1"/>
    </xf>
    <xf numFmtId="0" fontId="11" fillId="8" borderId="1" xfId="0" applyFont="1" applyFill="1" applyBorder="1" applyAlignment="1">
      <alignment vertical="top" wrapText="1"/>
    </xf>
    <xf numFmtId="0" fontId="9" fillId="8" borderId="0" xfId="0" applyFont="1" applyFill="1" applyAlignment="1">
      <alignment wrapText="1"/>
    </xf>
    <xf numFmtId="0" fontId="7" fillId="0" borderId="3" xfId="0" applyFont="1" applyFill="1" applyBorder="1"/>
    <xf numFmtId="0" fontId="7" fillId="0" borderId="6" xfId="0" applyFont="1" applyFill="1" applyBorder="1"/>
    <xf numFmtId="0" fontId="8" fillId="0" borderId="0" xfId="0" applyFont="1" applyFill="1"/>
    <xf numFmtId="0" fontId="6" fillId="0" borderId="1" xfId="0" applyFont="1" applyFill="1" applyBorder="1" applyAlignment="1">
      <alignment horizontal="left" indent="1"/>
    </xf>
    <xf numFmtId="0" fontId="7" fillId="0" borderId="1" xfId="0" applyFont="1" applyFill="1" applyBorder="1" applyAlignment="1">
      <alignment wrapText="1"/>
    </xf>
    <xf numFmtId="0" fontId="14" fillId="0" borderId="5" xfId="0" applyFont="1" applyFill="1" applyBorder="1" applyAlignment="1">
      <alignment horizontal="left"/>
    </xf>
    <xf numFmtId="0" fontId="15" fillId="0" borderId="1" xfId="0" applyFont="1" applyFill="1" applyBorder="1"/>
    <xf numFmtId="0" fontId="12" fillId="0" borderId="1" xfId="0" applyFont="1" applyFill="1" applyBorder="1" applyAlignment="1">
      <alignment horizontal="left"/>
    </xf>
    <xf numFmtId="0" fontId="13" fillId="0" borderId="3" xfId="0" applyFont="1" applyFill="1" applyBorder="1" applyAlignment="1">
      <alignment horizontal="left"/>
    </xf>
    <xf numFmtId="0" fontId="7" fillId="0" borderId="1" xfId="0" applyNumberFormat="1" applyFont="1" applyFill="1" applyBorder="1" applyAlignment="1">
      <alignment horizontal="right"/>
    </xf>
    <xf numFmtId="2" fontId="7" fillId="0" borderId="1" xfId="0" applyNumberFormat="1" applyFont="1" applyFill="1" applyBorder="1" applyAlignment="1">
      <alignment horizontal="right"/>
    </xf>
    <xf numFmtId="0" fontId="6" fillId="0" borderId="6" xfId="0" applyFont="1" applyFill="1" applyBorder="1"/>
    <xf numFmtId="0" fontId="7" fillId="0" borderId="1" xfId="0" applyFont="1" applyFill="1" applyBorder="1" applyAlignment="1"/>
    <xf numFmtId="0" fontId="17" fillId="4" borderId="1" xfId="0" applyFont="1" applyFill="1" applyBorder="1"/>
    <xf numFmtId="164" fontId="17" fillId="4" borderId="1" xfId="0" applyNumberFormat="1" applyFont="1" applyFill="1" applyBorder="1"/>
    <xf numFmtId="0" fontId="16" fillId="0" borderId="1" xfId="0" applyFont="1" applyBorder="1"/>
    <xf numFmtId="0" fontId="17" fillId="0" borderId="1" xfId="0" applyFont="1" applyFill="1" applyBorder="1"/>
    <xf numFmtId="0" fontId="17" fillId="10" borderId="1" xfId="0" applyFont="1" applyFill="1" applyBorder="1"/>
    <xf numFmtId="164" fontId="17" fillId="10" borderId="1" xfId="0" applyNumberFormat="1" applyFont="1" applyFill="1" applyBorder="1"/>
    <xf numFmtId="2" fontId="17" fillId="10" borderId="1" xfId="0" applyNumberFormat="1" applyFont="1" applyFill="1" applyBorder="1"/>
    <xf numFmtId="0" fontId="17" fillId="5" borderId="1" xfId="0" applyFont="1" applyFill="1" applyBorder="1"/>
    <xf numFmtId="0" fontId="17" fillId="0" borderId="1" xfId="0" applyFont="1" applyBorder="1"/>
    <xf numFmtId="0" fontId="17" fillId="0" borderId="0" xfId="0" applyFont="1" applyFill="1"/>
    <xf numFmtId="0" fontId="17" fillId="0" borderId="3" xfId="0" applyFont="1" applyFill="1" applyBorder="1"/>
    <xf numFmtId="0" fontId="17" fillId="0" borderId="1" xfId="0" applyFont="1" applyFill="1" applyBorder="1" applyAlignment="1">
      <alignment wrapText="1"/>
    </xf>
    <xf numFmtId="0" fontId="17" fillId="0" borderId="6" xfId="0" applyFont="1" applyFill="1" applyBorder="1"/>
    <xf numFmtId="0" fontId="17" fillId="0" borderId="5" xfId="0" applyFont="1" applyFill="1" applyBorder="1"/>
    <xf numFmtId="164" fontId="17" fillId="0" borderId="1" xfId="0" applyNumberFormat="1" applyFont="1" applyBorder="1"/>
    <xf numFmtId="2" fontId="17" fillId="0" borderId="1" xfId="0" applyNumberFormat="1" applyFont="1" applyBorder="1"/>
    <xf numFmtId="0" fontId="17" fillId="2" borderId="1" xfId="0" applyFont="1" applyFill="1" applyBorder="1"/>
    <xf numFmtId="164" fontId="17" fillId="2" borderId="1" xfId="0" applyNumberFormat="1" applyFont="1" applyFill="1" applyBorder="1"/>
    <xf numFmtId="2" fontId="17" fillId="10" borderId="1" xfId="0" applyNumberFormat="1" applyFont="1" applyFill="1" applyBorder="1" applyAlignment="1">
      <alignment horizontal="right"/>
    </xf>
    <xf numFmtId="2" fontId="17" fillId="2" borderId="1" xfId="0" applyNumberFormat="1" applyFont="1" applyFill="1" applyBorder="1"/>
    <xf numFmtId="164" fontId="17" fillId="5" borderId="1" xfId="0" applyNumberFormat="1" applyFont="1" applyFill="1" applyBorder="1"/>
    <xf numFmtId="2" fontId="17" fillId="5" borderId="1" xfId="0" applyNumberFormat="1" applyFont="1" applyFill="1" applyBorder="1"/>
    <xf numFmtId="0" fontId="16" fillId="5" borderId="1" xfId="0" applyFont="1" applyFill="1" applyBorder="1"/>
    <xf numFmtId="0" fontId="17" fillId="0" borderId="1" xfId="0" applyFont="1" applyFill="1" applyBorder="1" applyAlignment="1">
      <alignment horizontal="left"/>
    </xf>
    <xf numFmtId="0" fontId="16" fillId="3" borderId="1" xfId="0" applyFont="1" applyFill="1" applyBorder="1" applyAlignment="1">
      <alignment horizontal="center" vertical="top" wrapText="1"/>
    </xf>
    <xf numFmtId="164" fontId="16" fillId="3" borderId="1" xfId="0" applyNumberFormat="1" applyFont="1" applyFill="1" applyBorder="1" applyAlignment="1">
      <alignment horizontal="center" vertical="top" wrapText="1"/>
    </xf>
    <xf numFmtId="0" fontId="17" fillId="5" borderId="5" xfId="0" applyFont="1" applyFill="1" applyBorder="1"/>
    <xf numFmtId="0" fontId="7" fillId="5" borderId="0" xfId="0" applyFont="1" applyFill="1"/>
    <xf numFmtId="0" fontId="7" fillId="7" borderId="1" xfId="0" applyFont="1" applyFill="1" applyBorder="1"/>
    <xf numFmtId="0" fontId="7" fillId="0" borderId="2" xfId="0" applyFont="1" applyFill="1" applyBorder="1"/>
    <xf numFmtId="2" fontId="4" fillId="9" borderId="1" xfId="0" applyNumberFormat="1" applyFont="1" applyFill="1" applyBorder="1"/>
    <xf numFmtId="0" fontId="7" fillId="5" borderId="5" xfId="0" applyFont="1" applyFill="1" applyBorder="1"/>
    <xf numFmtId="0" fontId="13" fillId="5" borderId="1" xfId="0" applyFont="1" applyFill="1" applyBorder="1"/>
    <xf numFmtId="0" fontId="11" fillId="0" borderId="1" xfId="0" applyFont="1" applyFill="1" applyBorder="1"/>
    <xf numFmtId="2" fontId="1" fillId="10" borderId="1" xfId="0" applyNumberFormat="1" applyFont="1" applyFill="1" applyBorder="1"/>
    <xf numFmtId="0" fontId="17" fillId="0" borderId="1" xfId="0" applyFont="1" applyFill="1" applyBorder="1" applyAlignment="1"/>
    <xf numFmtId="0" fontId="16" fillId="4" borderId="1" xfId="0" applyFont="1" applyFill="1" applyBorder="1"/>
    <xf numFmtId="164" fontId="16" fillId="4" borderId="1" xfId="0" applyNumberFormat="1" applyFont="1" applyFill="1" applyBorder="1"/>
    <xf numFmtId="0" fontId="19" fillId="0" borderId="1" xfId="0" applyFont="1" applyBorder="1"/>
    <xf numFmtId="0" fontId="12" fillId="0" borderId="1" xfId="0" applyFont="1" applyFill="1" applyBorder="1"/>
    <xf numFmtId="0" fontId="16" fillId="3" borderId="1" xfId="0" applyFont="1" applyFill="1" applyBorder="1" applyAlignment="1">
      <alignment horizontal="center" vertical="top" wrapText="1"/>
    </xf>
    <xf numFmtId="164" fontId="16" fillId="3" borderId="1" xfId="0" applyNumberFormat="1" applyFont="1" applyFill="1" applyBorder="1" applyAlignment="1">
      <alignment horizontal="center" vertical="top" wrapText="1"/>
    </xf>
    <xf numFmtId="0" fontId="8" fillId="5" borderId="1" xfId="0" applyFont="1" applyFill="1" applyBorder="1"/>
    <xf numFmtId="0" fontId="8" fillId="5" borderId="0" xfId="0" applyFont="1" applyFill="1"/>
    <xf numFmtId="0" fontId="17" fillId="11" borderId="1" xfId="0" applyFont="1" applyFill="1" applyBorder="1"/>
    <xf numFmtId="2" fontId="17" fillId="11" borderId="1" xfId="0" applyNumberFormat="1" applyFont="1" applyFill="1" applyBorder="1"/>
    <xf numFmtId="0" fontId="12" fillId="0" borderId="0" xfId="0" applyFont="1" applyFill="1"/>
    <xf numFmtId="0" fontId="12" fillId="0" borderId="3" xfId="0" applyFont="1" applyFill="1" applyBorder="1"/>
    <xf numFmtId="0" fontId="12" fillId="5" borderId="1" xfId="0" applyFont="1" applyFill="1" applyBorder="1"/>
    <xf numFmtId="0" fontId="12" fillId="0" borderId="6" xfId="0" applyFont="1" applyFill="1" applyBorder="1"/>
    <xf numFmtId="0" fontId="15" fillId="0" borderId="5" xfId="0" applyFont="1" applyFill="1" applyBorder="1"/>
    <xf numFmtId="164" fontId="17" fillId="11" borderId="1" xfId="0" applyNumberFormat="1" applyFont="1" applyFill="1" applyBorder="1"/>
    <xf numFmtId="0" fontId="7" fillId="0" borderId="0" xfId="0" applyFont="1" applyFill="1" applyBorder="1"/>
    <xf numFmtId="0" fontId="17" fillId="0" borderId="6" xfId="0" applyFont="1" applyBorder="1"/>
    <xf numFmtId="164" fontId="17" fillId="0" borderId="5" xfId="0" applyNumberFormat="1" applyFont="1" applyBorder="1"/>
    <xf numFmtId="2" fontId="17" fillId="10" borderId="2" xfId="0" applyNumberFormat="1" applyFont="1" applyFill="1" applyBorder="1" applyAlignment="1">
      <alignment horizontal="right"/>
    </xf>
    <xf numFmtId="0" fontId="17" fillId="2" borderId="3" xfId="0" applyFont="1" applyFill="1" applyBorder="1"/>
    <xf numFmtId="164" fontId="17" fillId="2" borderId="3" xfId="0" applyNumberFormat="1" applyFont="1" applyFill="1" applyBorder="1"/>
    <xf numFmtId="0" fontId="20" fillId="0" borderId="1" xfId="0" applyFont="1" applyBorder="1" applyAlignment="1">
      <alignment horizontal="center" vertical="center" wrapText="1"/>
    </xf>
    <xf numFmtId="2" fontId="17" fillId="10" borderId="3" xfId="0" applyNumberFormat="1" applyFont="1" applyFill="1" applyBorder="1"/>
    <xf numFmtId="0" fontId="7" fillId="0" borderId="1" xfId="0" applyNumberFormat="1" applyFont="1" applyFill="1" applyBorder="1"/>
    <xf numFmtId="0" fontId="21" fillId="0" borderId="1" xfId="0" applyFont="1" applyFill="1" applyBorder="1"/>
    <xf numFmtId="0" fontId="22" fillId="0" borderId="1" xfId="0" applyFont="1" applyFill="1" applyBorder="1"/>
    <xf numFmtId="0" fontId="21" fillId="5" borderId="1" xfId="0" applyFont="1" applyFill="1" applyBorder="1"/>
    <xf numFmtId="0" fontId="22" fillId="5" borderId="1" xfId="0" applyFont="1" applyFill="1" applyBorder="1"/>
    <xf numFmtId="0" fontId="23" fillId="5" borderId="1" xfId="0" applyFont="1" applyFill="1" applyBorder="1"/>
    <xf numFmtId="0" fontId="22" fillId="0" borderId="3" xfId="0" applyFont="1" applyFill="1" applyBorder="1"/>
    <xf numFmtId="0" fontId="21" fillId="0" borderId="3" xfId="0" applyFont="1" applyFill="1" applyBorder="1"/>
    <xf numFmtId="0" fontId="21" fillId="0" borderId="0" xfId="0" applyFont="1" applyFill="1" applyBorder="1"/>
    <xf numFmtId="2" fontId="24" fillId="10" borderId="1" xfId="0" applyNumberFormat="1" applyFont="1" applyFill="1" applyBorder="1"/>
    <xf numFmtId="0" fontId="24" fillId="0" borderId="1" xfId="0" applyFont="1" applyBorder="1"/>
    <xf numFmtId="16" fontId="17" fillId="11" borderId="1" xfId="0" applyNumberFormat="1" applyFont="1" applyFill="1" applyBorder="1"/>
    <xf numFmtId="0" fontId="24" fillId="11" borderId="1" xfId="0" applyFont="1" applyFill="1" applyBorder="1"/>
    <xf numFmtId="164" fontId="24" fillId="11" borderId="1" xfId="0" applyNumberFormat="1" applyFont="1" applyFill="1" applyBorder="1"/>
    <xf numFmtId="2" fontId="25" fillId="10" borderId="1" xfId="0" applyNumberFormat="1" applyFont="1" applyFill="1" applyBorder="1"/>
    <xf numFmtId="0" fontId="24" fillId="10" borderId="1" xfId="0" applyFont="1" applyFill="1" applyBorder="1"/>
    <xf numFmtId="0" fontId="25" fillId="11" borderId="1" xfId="0" applyFont="1" applyFill="1" applyBorder="1"/>
    <xf numFmtId="2" fontId="24" fillId="11" borderId="1" xfId="0" applyNumberFormat="1" applyFont="1" applyFill="1" applyBorder="1"/>
    <xf numFmtId="2" fontId="24" fillId="10" borderId="1" xfId="0" applyNumberFormat="1" applyFont="1" applyFill="1" applyBorder="1" applyAlignment="1">
      <alignment horizontal="right"/>
    </xf>
    <xf numFmtId="164" fontId="24" fillId="10" borderId="1" xfId="0" applyNumberFormat="1" applyFont="1" applyFill="1" applyBorder="1"/>
    <xf numFmtId="164" fontId="24" fillId="0" borderId="1" xfId="0" applyNumberFormat="1" applyFont="1" applyBorder="1"/>
    <xf numFmtId="0" fontId="24" fillId="11" borderId="1" xfId="0" applyFont="1" applyFill="1" applyBorder="1" applyAlignment="1">
      <alignment horizontal="right" vertical="center" wrapText="1"/>
    </xf>
    <xf numFmtId="0" fontId="26" fillId="11" borderId="1" xfId="0" applyFont="1" applyFill="1" applyBorder="1" applyAlignment="1">
      <alignment horizontal="right" vertical="center" wrapText="1"/>
    </xf>
    <xf numFmtId="0" fontId="17" fillId="12" borderId="1" xfId="0" applyFont="1" applyFill="1" applyBorder="1"/>
    <xf numFmtId="0" fontId="17" fillId="13" borderId="1" xfId="0" applyFont="1" applyFill="1" applyBorder="1"/>
    <xf numFmtId="0" fontId="7" fillId="13" borderId="1" xfId="0" applyFont="1" applyFill="1" applyBorder="1"/>
    <xf numFmtId="0" fontId="15" fillId="5" borderId="1" xfId="0" applyFont="1" applyFill="1" applyBorder="1"/>
    <xf numFmtId="2" fontId="19" fillId="10" borderId="1" xfId="0" applyNumberFormat="1" applyFont="1" applyFill="1" applyBorder="1"/>
    <xf numFmtId="2" fontId="17" fillId="13" borderId="1" xfId="0" applyNumberFormat="1" applyFont="1" applyFill="1" applyBorder="1"/>
    <xf numFmtId="0" fontId="19" fillId="0" borderId="1" xfId="0" applyFont="1" applyFill="1" applyBorder="1"/>
    <xf numFmtId="0" fontId="16" fillId="3" borderId="1" xfId="0" applyFont="1" applyFill="1" applyBorder="1" applyAlignment="1">
      <alignment horizontal="center" vertical="top" wrapText="1"/>
    </xf>
    <xf numFmtId="164" fontId="16" fillId="3" borderId="1" xfId="0" applyNumberFormat="1" applyFont="1" applyFill="1" applyBorder="1" applyAlignment="1">
      <alignment horizontal="center" vertical="top" wrapText="1"/>
    </xf>
    <xf numFmtId="0" fontId="17" fillId="6" borderId="2" xfId="0" applyFont="1" applyFill="1" applyBorder="1" applyAlignment="1">
      <alignment horizontal="center"/>
    </xf>
    <xf numFmtId="0" fontId="17" fillId="6" borderId="7" xfId="0" applyFont="1" applyFill="1" applyBorder="1" applyAlignment="1">
      <alignment horizontal="center"/>
    </xf>
    <xf numFmtId="0" fontId="17" fillId="6" borderId="1" xfId="0" applyFont="1" applyFill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10" fillId="7" borderId="6" xfId="0" applyFont="1" applyFill="1" applyBorder="1" applyAlignment="1">
      <alignment horizontal="center" wrapText="1"/>
    </xf>
    <xf numFmtId="0" fontId="10" fillId="7" borderId="5" xfId="0" applyFont="1" applyFill="1" applyBorder="1" applyAlignment="1">
      <alignment horizontal="center" wrapText="1"/>
    </xf>
    <xf numFmtId="0" fontId="5" fillId="5" borderId="6" xfId="0" applyFont="1" applyFill="1" applyBorder="1" applyAlignment="1">
      <alignment horizontal="left"/>
    </xf>
    <xf numFmtId="0" fontId="5" fillId="5" borderId="5" xfId="0" applyFont="1" applyFill="1" applyBorder="1" applyAlignment="1">
      <alignment horizontal="left"/>
    </xf>
    <xf numFmtId="0" fontId="10" fillId="5" borderId="6" xfId="0" applyFont="1" applyFill="1" applyBorder="1" applyAlignment="1">
      <alignment horizontal="center" wrapText="1"/>
    </xf>
    <xf numFmtId="0" fontId="10" fillId="5" borderId="5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colors>
    <mruColors>
      <color rgb="FF60F53D"/>
      <color rgb="FF32D70B"/>
      <color rgb="FF9A57CD"/>
      <color rgb="FFD79BEF"/>
      <color rgb="FFF364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6"/>
  <sheetViews>
    <sheetView topLeftCell="B1" workbookViewId="0">
      <selection activeCell="B12" sqref="B12:E12"/>
    </sheetView>
  </sheetViews>
  <sheetFormatPr defaultRowHeight="14.5" x14ac:dyDescent="0.35"/>
  <sheetData>
    <row r="1" spans="1:6" x14ac:dyDescent="0.35">
      <c r="A1" t="s">
        <v>8</v>
      </c>
    </row>
    <row r="2" spans="1:6" x14ac:dyDescent="0.35">
      <c r="B2" t="s">
        <v>1</v>
      </c>
    </row>
    <row r="4" spans="1:6" x14ac:dyDescent="0.35">
      <c r="A4" s="1"/>
      <c r="B4" s="1" t="s">
        <v>13</v>
      </c>
      <c r="C4" s="4" t="s">
        <v>14</v>
      </c>
      <c r="D4" s="4" t="s">
        <v>15</v>
      </c>
      <c r="E4" s="4" t="s">
        <v>16</v>
      </c>
      <c r="F4" s="4" t="s">
        <v>12</v>
      </c>
    </row>
    <row r="5" spans="1:6" x14ac:dyDescent="0.35">
      <c r="A5" s="2" t="s">
        <v>17</v>
      </c>
      <c r="B5" s="1">
        <v>25</v>
      </c>
      <c r="C5" s="3">
        <f>B12*B5/100</f>
        <v>10.5</v>
      </c>
      <c r="D5" s="3">
        <f>B5*B14/100</f>
        <v>11.75</v>
      </c>
      <c r="E5" s="3">
        <f>B15*B5/100</f>
        <v>50.75</v>
      </c>
      <c r="F5" s="3">
        <f>B5*1400/100</f>
        <v>350</v>
      </c>
    </row>
    <row r="6" spans="1:6" x14ac:dyDescent="0.35">
      <c r="A6" s="2" t="s">
        <v>0</v>
      </c>
      <c r="B6" s="1">
        <v>5</v>
      </c>
      <c r="C6" s="3">
        <f>B12*B6/100</f>
        <v>2.1</v>
      </c>
      <c r="D6" s="3">
        <f>B6*B14/100</f>
        <v>2.35</v>
      </c>
      <c r="E6" s="3">
        <f>B15*5/100</f>
        <v>10.15</v>
      </c>
      <c r="F6" s="3">
        <f>B6*1400/100</f>
        <v>70</v>
      </c>
    </row>
    <row r="7" spans="1:6" x14ac:dyDescent="0.35">
      <c r="A7" s="2" t="s">
        <v>18</v>
      </c>
      <c r="B7" s="1">
        <v>35</v>
      </c>
      <c r="C7" s="3">
        <f>B12*B7/100</f>
        <v>14.7</v>
      </c>
      <c r="D7" s="3">
        <f>B14*B7/100</f>
        <v>16.45</v>
      </c>
      <c r="E7" s="3">
        <f>B7*B15/100</f>
        <v>71.05</v>
      </c>
      <c r="F7" s="3">
        <f>B7*1400/100</f>
        <v>490</v>
      </c>
    </row>
    <row r="8" spans="1:6" x14ac:dyDescent="0.35">
      <c r="A8" s="2" t="s">
        <v>19</v>
      </c>
      <c r="B8" s="1">
        <v>35</v>
      </c>
      <c r="C8" s="3">
        <f>B8*B12/100</f>
        <v>14.7</v>
      </c>
      <c r="D8" s="3">
        <f>B8*B14/100</f>
        <v>16.45</v>
      </c>
      <c r="E8" s="3">
        <f>B8*B15/100</f>
        <v>71.05</v>
      </c>
      <c r="F8" s="3">
        <f>B8*1400/100</f>
        <v>490</v>
      </c>
    </row>
    <row r="9" spans="1:6" x14ac:dyDescent="0.35">
      <c r="B9">
        <f>SUM(B5:B8)</f>
        <v>100</v>
      </c>
    </row>
    <row r="11" spans="1:6" x14ac:dyDescent="0.35">
      <c r="B11" t="s">
        <v>7</v>
      </c>
    </row>
    <row r="12" spans="1:6" x14ac:dyDescent="0.35">
      <c r="A12" t="s">
        <v>4</v>
      </c>
      <c r="B12">
        <v>42</v>
      </c>
      <c r="C12">
        <v>47</v>
      </c>
      <c r="D12">
        <v>203</v>
      </c>
      <c r="E12">
        <v>1400</v>
      </c>
    </row>
    <row r="13" spans="1:6" x14ac:dyDescent="0.35">
      <c r="A13" t="s">
        <v>3</v>
      </c>
      <c r="B13">
        <v>65</v>
      </c>
    </row>
    <row r="14" spans="1:6" x14ac:dyDescent="0.35">
      <c r="A14" t="s">
        <v>5</v>
      </c>
      <c r="B14">
        <v>47</v>
      </c>
    </row>
    <row r="15" spans="1:6" x14ac:dyDescent="0.35">
      <c r="A15" t="s">
        <v>6</v>
      </c>
      <c r="B15">
        <v>203</v>
      </c>
    </row>
    <row r="16" spans="1:6" x14ac:dyDescent="0.35">
      <c r="A16" t="s">
        <v>2</v>
      </c>
      <c r="B16">
        <v>1400</v>
      </c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F57"/>
  <sheetViews>
    <sheetView topLeftCell="AB1" zoomScale="80" zoomScaleNormal="80" workbookViewId="0">
      <selection activeCell="B9" sqref="B9:I9"/>
    </sheetView>
  </sheetViews>
  <sheetFormatPr defaultColWidth="9.1796875" defaultRowHeight="14.5" x14ac:dyDescent="0.35"/>
  <cols>
    <col min="1" max="1" width="4.7265625" style="86" customWidth="1"/>
    <col min="2" max="2" width="5.1796875" style="86" customWidth="1"/>
    <col min="3" max="3" width="38.54296875" style="86" customWidth="1"/>
    <col min="4" max="4" width="9.54296875" style="86" customWidth="1"/>
    <col min="5" max="5" width="8.81640625" style="86" customWidth="1"/>
    <col min="6" max="6" width="7.54296875" style="86" customWidth="1"/>
    <col min="7" max="7" width="6.453125" style="92" customWidth="1"/>
    <col min="8" max="8" width="6.7265625" style="92" customWidth="1"/>
    <col min="9" max="9" width="5.81640625" style="86" customWidth="1"/>
    <col min="10" max="10" width="5.26953125" style="172" customWidth="1"/>
    <col min="11" max="11" width="4.26953125" style="86" customWidth="1"/>
    <col min="12" max="12" width="5.81640625" style="86" customWidth="1"/>
    <col min="13" max="13" width="44" style="86" customWidth="1"/>
    <col min="14" max="14" width="6.7265625" style="86" customWidth="1"/>
    <col min="15" max="15" width="7.453125" style="86" customWidth="1"/>
    <col min="16" max="16" width="7.26953125" style="86" customWidth="1"/>
    <col min="17" max="17" width="6" style="86" customWidth="1"/>
    <col min="18" max="18" width="8.453125" style="86" customWidth="1"/>
    <col min="19" max="19" width="7.7265625" style="86" customWidth="1"/>
    <col min="20" max="20" width="5.26953125" style="172" customWidth="1"/>
    <col min="21" max="21" width="4.26953125" style="86" customWidth="1"/>
    <col min="22" max="22" width="4.7265625" style="86" customWidth="1"/>
    <col min="23" max="23" width="43.1796875" style="86" customWidth="1"/>
    <col min="24" max="24" width="7.7265625" style="86" customWidth="1"/>
    <col min="25" max="25" width="6.54296875" style="86" customWidth="1"/>
    <col min="26" max="26" width="6.453125" style="86" customWidth="1"/>
    <col min="27" max="27" width="6.7265625" style="86" customWidth="1"/>
    <col min="28" max="28" width="7" style="86" customWidth="1"/>
    <col min="29" max="29" width="6.453125" style="86" customWidth="1"/>
    <col min="30" max="30" width="5.54296875" style="172" customWidth="1"/>
    <col min="31" max="31" width="4.7265625" style="86" customWidth="1"/>
    <col min="32" max="32" width="5.81640625" style="86" customWidth="1"/>
    <col min="33" max="33" width="39.453125" style="86" customWidth="1"/>
    <col min="34" max="34" width="7.1796875" style="86" customWidth="1"/>
    <col min="35" max="35" width="6.453125" style="86" customWidth="1"/>
    <col min="36" max="36" width="5.7265625" style="86" customWidth="1"/>
    <col min="37" max="37" width="6.1796875" style="86" customWidth="1"/>
    <col min="38" max="38" width="7.1796875" style="86" customWidth="1"/>
    <col min="39" max="39" width="5.81640625" style="86" customWidth="1"/>
    <col min="40" max="40" width="6.7265625" style="172" customWidth="1"/>
    <col min="41" max="41" width="4.26953125" style="86" customWidth="1"/>
    <col min="42" max="42" width="5.1796875" style="86" customWidth="1"/>
    <col min="43" max="43" width="36.7265625" style="86" customWidth="1"/>
    <col min="44" max="44" width="7" style="86" customWidth="1"/>
    <col min="45" max="45" width="6.1796875" style="86" customWidth="1"/>
    <col min="46" max="46" width="6.7265625" style="86" customWidth="1"/>
    <col min="47" max="47" width="5.7265625" style="86" customWidth="1"/>
    <col min="48" max="48" width="8.26953125" style="86" customWidth="1"/>
    <col min="49" max="49" width="5.81640625" style="86" customWidth="1"/>
    <col min="50" max="50" width="5.453125" style="172" customWidth="1"/>
    <col min="51" max="52" width="5.26953125" style="86" customWidth="1"/>
    <col min="53" max="53" width="36.1796875" style="86" customWidth="1"/>
    <col min="54" max="54" width="7.453125" style="86" customWidth="1"/>
    <col min="55" max="55" width="6.54296875" style="86" customWidth="1"/>
    <col min="56" max="56" width="5.7265625" style="86" customWidth="1"/>
    <col min="57" max="58" width="6.81640625" style="86" customWidth="1"/>
    <col min="59" max="59" width="6.453125" style="86" customWidth="1"/>
    <col min="60" max="60" width="5.453125" style="172" customWidth="1"/>
    <col min="61" max="61" width="5" style="86" customWidth="1"/>
    <col min="62" max="62" width="5.1796875" style="86" customWidth="1"/>
    <col min="63" max="63" width="38.81640625" style="86" customWidth="1"/>
    <col min="64" max="64" width="7" style="86" customWidth="1"/>
    <col min="65" max="65" width="6.453125" style="86" customWidth="1"/>
    <col min="66" max="66" width="6.1796875" style="86" customWidth="1"/>
    <col min="67" max="67" width="5.81640625" style="86" customWidth="1"/>
    <col min="68" max="68" width="8" style="86" customWidth="1"/>
    <col min="69" max="69" width="5.81640625" style="86" customWidth="1"/>
    <col min="70" max="70" width="5.1796875" style="172" customWidth="1"/>
    <col min="71" max="71" width="5.453125" style="86" customWidth="1"/>
    <col min="72" max="72" width="5.26953125" style="86" customWidth="1"/>
    <col min="73" max="73" width="37.81640625" style="86" customWidth="1"/>
    <col min="74" max="74" width="6.54296875" style="86" customWidth="1"/>
    <col min="75" max="75" width="7.1796875" style="86" customWidth="1"/>
    <col min="76" max="76" width="6" style="86" customWidth="1"/>
    <col min="77" max="77" width="6.54296875" style="86" customWidth="1"/>
    <col min="78" max="78" width="6.7265625" style="86" customWidth="1"/>
    <col min="79" max="79" width="6.26953125" style="86" customWidth="1"/>
    <col min="80" max="80" width="4.7265625" style="172" customWidth="1"/>
    <col min="81" max="82" width="5.453125" style="86" customWidth="1"/>
    <col min="83" max="83" width="41.54296875" style="86" customWidth="1"/>
    <col min="84" max="84" width="7.26953125" style="86" customWidth="1"/>
    <col min="85" max="85" width="6" style="86" customWidth="1"/>
    <col min="86" max="86" width="6.1796875" style="86" customWidth="1"/>
    <col min="87" max="88" width="6.7265625" style="86" customWidth="1"/>
    <col min="89" max="89" width="6.453125" style="86" customWidth="1"/>
    <col min="90" max="90" width="5" style="172" customWidth="1"/>
    <col min="91" max="91" width="5" style="86" customWidth="1"/>
    <col min="92" max="92" width="6.1796875" style="86" customWidth="1"/>
    <col min="93" max="93" width="36.7265625" style="86" customWidth="1"/>
    <col min="94" max="94" width="7.26953125" style="86" customWidth="1"/>
    <col min="95" max="95" width="5.81640625" style="86" customWidth="1"/>
    <col min="96" max="96" width="7" style="86" customWidth="1"/>
    <col min="97" max="97" width="7.26953125" style="86" customWidth="1"/>
    <col min="98" max="98" width="8" style="86" customWidth="1"/>
    <col min="99" max="99" width="6.453125" style="86" customWidth="1"/>
    <col min="100" max="100" width="4.81640625" style="172" customWidth="1"/>
    <col min="101" max="162" width="9.1796875" style="85"/>
    <col min="163" max="16384" width="9.1796875" style="86"/>
  </cols>
  <sheetData>
    <row r="1" spans="1:162" ht="15" customHeight="1" x14ac:dyDescent="0.35">
      <c r="A1" s="168" t="s">
        <v>21</v>
      </c>
      <c r="B1" s="168" t="s">
        <v>26</v>
      </c>
      <c r="C1" s="168" t="s">
        <v>22</v>
      </c>
      <c r="D1" s="168" t="s">
        <v>23</v>
      </c>
      <c r="E1" s="168" t="s">
        <v>24</v>
      </c>
      <c r="F1" s="168"/>
      <c r="G1" s="168"/>
      <c r="H1" s="169" t="s">
        <v>20</v>
      </c>
      <c r="I1" s="168" t="s">
        <v>25</v>
      </c>
      <c r="J1" s="170"/>
      <c r="K1" s="168" t="s">
        <v>21</v>
      </c>
      <c r="L1" s="168" t="s">
        <v>26</v>
      </c>
      <c r="M1" s="168" t="s">
        <v>22</v>
      </c>
      <c r="N1" s="168" t="s">
        <v>23</v>
      </c>
      <c r="O1" s="168" t="s">
        <v>24</v>
      </c>
      <c r="P1" s="168"/>
      <c r="Q1" s="168"/>
      <c r="R1" s="169" t="s">
        <v>20</v>
      </c>
      <c r="S1" s="168" t="s">
        <v>25</v>
      </c>
      <c r="T1" s="170"/>
      <c r="U1" s="168" t="s">
        <v>21</v>
      </c>
      <c r="V1" s="168" t="s">
        <v>26</v>
      </c>
      <c r="W1" s="168" t="s">
        <v>22</v>
      </c>
      <c r="X1" s="168" t="s">
        <v>23</v>
      </c>
      <c r="Y1" s="168" t="s">
        <v>24</v>
      </c>
      <c r="Z1" s="168"/>
      <c r="AA1" s="168"/>
      <c r="AB1" s="169" t="s">
        <v>20</v>
      </c>
      <c r="AC1" s="168" t="s">
        <v>25</v>
      </c>
      <c r="AD1" s="170"/>
      <c r="AE1" s="168" t="s">
        <v>21</v>
      </c>
      <c r="AF1" s="168" t="s">
        <v>26</v>
      </c>
      <c r="AG1" s="168" t="s">
        <v>22</v>
      </c>
      <c r="AH1" s="168" t="s">
        <v>23</v>
      </c>
      <c r="AI1" s="168" t="s">
        <v>24</v>
      </c>
      <c r="AJ1" s="168"/>
      <c r="AK1" s="168"/>
      <c r="AL1" s="169" t="s">
        <v>20</v>
      </c>
      <c r="AM1" s="168" t="s">
        <v>25</v>
      </c>
      <c r="AN1" s="170"/>
      <c r="AO1" s="168" t="s">
        <v>21</v>
      </c>
      <c r="AP1" s="168" t="s">
        <v>26</v>
      </c>
      <c r="AQ1" s="168" t="s">
        <v>22</v>
      </c>
      <c r="AR1" s="168" t="s">
        <v>23</v>
      </c>
      <c r="AS1" s="168" t="s">
        <v>24</v>
      </c>
      <c r="AT1" s="168"/>
      <c r="AU1" s="168"/>
      <c r="AV1" s="169" t="s">
        <v>20</v>
      </c>
      <c r="AW1" s="168" t="s">
        <v>25</v>
      </c>
      <c r="AX1" s="170"/>
      <c r="AY1" s="168" t="s">
        <v>21</v>
      </c>
      <c r="AZ1" s="168" t="s">
        <v>26</v>
      </c>
      <c r="BA1" s="168" t="s">
        <v>22</v>
      </c>
      <c r="BB1" s="168" t="s">
        <v>23</v>
      </c>
      <c r="BC1" s="168" t="s">
        <v>24</v>
      </c>
      <c r="BD1" s="168"/>
      <c r="BE1" s="168"/>
      <c r="BF1" s="169" t="s">
        <v>20</v>
      </c>
      <c r="BG1" s="168" t="s">
        <v>25</v>
      </c>
      <c r="BH1" s="170"/>
      <c r="BI1" s="168" t="s">
        <v>21</v>
      </c>
      <c r="BJ1" s="168" t="s">
        <v>26</v>
      </c>
      <c r="BK1" s="168" t="s">
        <v>22</v>
      </c>
      <c r="BL1" s="168" t="s">
        <v>23</v>
      </c>
      <c r="BM1" s="168" t="s">
        <v>24</v>
      </c>
      <c r="BN1" s="168"/>
      <c r="BO1" s="168"/>
      <c r="BP1" s="169" t="s">
        <v>20</v>
      </c>
      <c r="BQ1" s="168" t="s">
        <v>25</v>
      </c>
      <c r="BR1" s="170"/>
      <c r="BS1" s="168" t="s">
        <v>21</v>
      </c>
      <c r="BT1" s="168" t="s">
        <v>26</v>
      </c>
      <c r="BU1" s="168" t="s">
        <v>22</v>
      </c>
      <c r="BV1" s="168" t="s">
        <v>23</v>
      </c>
      <c r="BW1" s="168" t="s">
        <v>24</v>
      </c>
      <c r="BX1" s="168"/>
      <c r="BY1" s="168"/>
      <c r="BZ1" s="169" t="s">
        <v>20</v>
      </c>
      <c r="CA1" s="168" t="s">
        <v>25</v>
      </c>
      <c r="CB1" s="170"/>
      <c r="CC1" s="168" t="s">
        <v>21</v>
      </c>
      <c r="CD1" s="168" t="s">
        <v>26</v>
      </c>
      <c r="CE1" s="168" t="s">
        <v>22</v>
      </c>
      <c r="CF1" s="168" t="s">
        <v>23</v>
      </c>
      <c r="CG1" s="168" t="s">
        <v>24</v>
      </c>
      <c r="CH1" s="168"/>
      <c r="CI1" s="168"/>
      <c r="CJ1" s="169" t="s">
        <v>20</v>
      </c>
      <c r="CK1" s="168" t="s">
        <v>25</v>
      </c>
      <c r="CL1" s="170"/>
      <c r="CM1" s="168" t="s">
        <v>21</v>
      </c>
      <c r="CN1" s="168" t="s">
        <v>26</v>
      </c>
      <c r="CO1" s="168" t="s">
        <v>22</v>
      </c>
      <c r="CP1" s="168" t="s">
        <v>23</v>
      </c>
      <c r="CQ1" s="168" t="s">
        <v>24</v>
      </c>
      <c r="CR1" s="168"/>
      <c r="CS1" s="168"/>
      <c r="CT1" s="169" t="s">
        <v>20</v>
      </c>
      <c r="CU1" s="168" t="s">
        <v>25</v>
      </c>
      <c r="CV1" s="170"/>
    </row>
    <row r="2" spans="1:162" ht="27.75" customHeight="1" x14ac:dyDescent="0.35">
      <c r="A2" s="168"/>
      <c r="B2" s="168"/>
      <c r="C2" s="168"/>
      <c r="D2" s="168"/>
      <c r="E2" s="102" t="s">
        <v>9</v>
      </c>
      <c r="F2" s="102" t="s">
        <v>10</v>
      </c>
      <c r="G2" s="103" t="s">
        <v>11</v>
      </c>
      <c r="H2" s="169"/>
      <c r="I2" s="168"/>
      <c r="J2" s="171"/>
      <c r="K2" s="168"/>
      <c r="L2" s="168"/>
      <c r="M2" s="168"/>
      <c r="N2" s="168"/>
      <c r="O2" s="102" t="s">
        <v>9</v>
      </c>
      <c r="P2" s="102" t="s">
        <v>10</v>
      </c>
      <c r="Q2" s="103" t="s">
        <v>11</v>
      </c>
      <c r="R2" s="169"/>
      <c r="S2" s="168"/>
      <c r="T2" s="171"/>
      <c r="U2" s="168"/>
      <c r="V2" s="168"/>
      <c r="W2" s="168"/>
      <c r="X2" s="168"/>
      <c r="Y2" s="118" t="s">
        <v>9</v>
      </c>
      <c r="Z2" s="118" t="s">
        <v>10</v>
      </c>
      <c r="AA2" s="119" t="s">
        <v>11</v>
      </c>
      <c r="AB2" s="169"/>
      <c r="AC2" s="168"/>
      <c r="AD2" s="171"/>
      <c r="AE2" s="168"/>
      <c r="AF2" s="168"/>
      <c r="AG2" s="168"/>
      <c r="AH2" s="168"/>
      <c r="AI2" s="102" t="s">
        <v>9</v>
      </c>
      <c r="AJ2" s="102" t="s">
        <v>10</v>
      </c>
      <c r="AK2" s="103" t="s">
        <v>11</v>
      </c>
      <c r="AL2" s="169"/>
      <c r="AM2" s="168"/>
      <c r="AN2" s="171"/>
      <c r="AO2" s="168"/>
      <c r="AP2" s="168"/>
      <c r="AQ2" s="168"/>
      <c r="AR2" s="168"/>
      <c r="AS2" s="102" t="s">
        <v>9</v>
      </c>
      <c r="AT2" s="102" t="s">
        <v>10</v>
      </c>
      <c r="AU2" s="103" t="s">
        <v>11</v>
      </c>
      <c r="AV2" s="169"/>
      <c r="AW2" s="168"/>
      <c r="AX2" s="171"/>
      <c r="AY2" s="168"/>
      <c r="AZ2" s="168"/>
      <c r="BA2" s="168"/>
      <c r="BB2" s="168"/>
      <c r="BC2" s="102" t="s">
        <v>9</v>
      </c>
      <c r="BD2" s="102" t="s">
        <v>10</v>
      </c>
      <c r="BE2" s="103" t="s">
        <v>11</v>
      </c>
      <c r="BF2" s="169"/>
      <c r="BG2" s="168"/>
      <c r="BH2" s="171"/>
      <c r="BI2" s="168"/>
      <c r="BJ2" s="168"/>
      <c r="BK2" s="168"/>
      <c r="BL2" s="168"/>
      <c r="BM2" s="118" t="s">
        <v>9</v>
      </c>
      <c r="BN2" s="118" t="s">
        <v>10</v>
      </c>
      <c r="BO2" s="119" t="s">
        <v>11</v>
      </c>
      <c r="BP2" s="169"/>
      <c r="BQ2" s="168"/>
      <c r="BR2" s="171"/>
      <c r="BS2" s="168"/>
      <c r="BT2" s="168"/>
      <c r="BU2" s="168"/>
      <c r="BV2" s="168"/>
      <c r="BW2" s="102" t="s">
        <v>9</v>
      </c>
      <c r="BX2" s="102" t="s">
        <v>10</v>
      </c>
      <c r="BY2" s="103" t="s">
        <v>11</v>
      </c>
      <c r="BZ2" s="169"/>
      <c r="CA2" s="168"/>
      <c r="CB2" s="171"/>
      <c r="CC2" s="168"/>
      <c r="CD2" s="168"/>
      <c r="CE2" s="168"/>
      <c r="CF2" s="168"/>
      <c r="CG2" s="102" t="s">
        <v>9</v>
      </c>
      <c r="CH2" s="102" t="s">
        <v>10</v>
      </c>
      <c r="CI2" s="103" t="s">
        <v>11</v>
      </c>
      <c r="CJ2" s="169"/>
      <c r="CK2" s="168"/>
      <c r="CL2" s="171"/>
      <c r="CM2" s="168"/>
      <c r="CN2" s="168"/>
      <c r="CO2" s="168"/>
      <c r="CP2" s="168"/>
      <c r="CQ2" s="102" t="s">
        <v>9</v>
      </c>
      <c r="CR2" s="102" t="s">
        <v>10</v>
      </c>
      <c r="CS2" s="103" t="s">
        <v>11</v>
      </c>
      <c r="CT2" s="169"/>
      <c r="CU2" s="168"/>
      <c r="CV2" s="171"/>
    </row>
    <row r="3" spans="1:162" x14ac:dyDescent="0.35">
      <c r="A3" s="78" t="s">
        <v>176</v>
      </c>
      <c r="B3" s="78"/>
      <c r="C3" s="78"/>
      <c r="D3" s="78"/>
      <c r="E3" s="78"/>
      <c r="F3" s="78"/>
      <c r="G3" s="79"/>
      <c r="H3" s="79"/>
      <c r="I3" s="78"/>
      <c r="J3" s="171"/>
      <c r="K3" s="78" t="s">
        <v>177</v>
      </c>
      <c r="L3" s="78"/>
      <c r="M3" s="78"/>
      <c r="N3" s="78"/>
      <c r="O3" s="78"/>
      <c r="P3" s="78"/>
      <c r="Q3" s="79"/>
      <c r="R3" s="79"/>
      <c r="S3" s="78"/>
      <c r="T3" s="171"/>
      <c r="U3" s="78" t="s">
        <v>179</v>
      </c>
      <c r="V3" s="78"/>
      <c r="W3" s="78"/>
      <c r="X3" s="78"/>
      <c r="Y3" s="78"/>
      <c r="Z3" s="78"/>
      <c r="AA3" s="79"/>
      <c r="AB3" s="79"/>
      <c r="AC3" s="78"/>
      <c r="AD3" s="171"/>
      <c r="AE3" s="78" t="s">
        <v>181</v>
      </c>
      <c r="AF3" s="78"/>
      <c r="AG3" s="78"/>
      <c r="AH3" s="78"/>
      <c r="AI3" s="78"/>
      <c r="AJ3" s="78"/>
      <c r="AK3" s="79"/>
      <c r="AL3" s="79"/>
      <c r="AM3" s="78"/>
      <c r="AN3" s="171"/>
      <c r="AO3" s="78" t="s">
        <v>183</v>
      </c>
      <c r="AP3" s="78"/>
      <c r="AQ3" s="78"/>
      <c r="AR3" s="78"/>
      <c r="AS3" s="78"/>
      <c r="AT3" s="78"/>
      <c r="AU3" s="79"/>
      <c r="AV3" s="79"/>
      <c r="AW3" s="78"/>
      <c r="AX3" s="171"/>
      <c r="AY3" s="78" t="s">
        <v>155</v>
      </c>
      <c r="AZ3" s="78"/>
      <c r="BA3" s="78"/>
      <c r="BB3" s="78"/>
      <c r="BC3" s="78"/>
      <c r="BD3" s="78"/>
      <c r="BE3" s="79"/>
      <c r="BF3" s="79"/>
      <c r="BG3" s="78"/>
      <c r="BH3" s="171"/>
      <c r="BI3" s="78" t="s">
        <v>185</v>
      </c>
      <c r="BJ3" s="78"/>
      <c r="BK3" s="78"/>
      <c r="BL3" s="78"/>
      <c r="BM3" s="78"/>
      <c r="BN3" s="78"/>
      <c r="BO3" s="79"/>
      <c r="BP3" s="79"/>
      <c r="BQ3" s="78"/>
      <c r="BR3" s="171"/>
      <c r="BS3" s="78" t="s">
        <v>190</v>
      </c>
      <c r="BT3" s="78"/>
      <c r="BU3" s="78"/>
      <c r="BV3" s="78"/>
      <c r="BW3" s="78"/>
      <c r="BX3" s="78"/>
      <c r="BY3" s="79"/>
      <c r="BZ3" s="79"/>
      <c r="CA3" s="78"/>
      <c r="CB3" s="171"/>
      <c r="CC3" s="78" t="s">
        <v>191</v>
      </c>
      <c r="CD3" s="78"/>
      <c r="CE3" s="78"/>
      <c r="CF3" s="78"/>
      <c r="CG3" s="78"/>
      <c r="CH3" s="78"/>
      <c r="CI3" s="79"/>
      <c r="CJ3" s="79"/>
      <c r="CK3" s="78"/>
      <c r="CL3" s="171"/>
      <c r="CM3" s="78" t="s">
        <v>194</v>
      </c>
      <c r="CN3" s="78"/>
      <c r="CO3" s="78"/>
      <c r="CP3" s="78"/>
      <c r="CQ3" s="78"/>
      <c r="CR3" s="78"/>
      <c r="CS3" s="79"/>
      <c r="CT3" s="79"/>
      <c r="CU3" s="78"/>
      <c r="CV3" s="171"/>
    </row>
    <row r="4" spans="1:162" s="80" customFormat="1" x14ac:dyDescent="0.35">
      <c r="A4" s="173" t="s">
        <v>28</v>
      </c>
      <c r="B4" s="174"/>
      <c r="C4" s="174"/>
      <c r="D4" s="174"/>
      <c r="E4" s="174"/>
      <c r="F4" s="174"/>
      <c r="G4" s="174"/>
      <c r="H4" s="174"/>
      <c r="I4" s="175"/>
      <c r="J4" s="171"/>
      <c r="K4" s="173" t="s">
        <v>28</v>
      </c>
      <c r="L4" s="174"/>
      <c r="M4" s="174"/>
      <c r="N4" s="174"/>
      <c r="O4" s="174"/>
      <c r="P4" s="174"/>
      <c r="Q4" s="174"/>
      <c r="R4" s="174"/>
      <c r="S4" s="175"/>
      <c r="T4" s="171"/>
      <c r="U4" s="173" t="s">
        <v>28</v>
      </c>
      <c r="V4" s="174"/>
      <c r="W4" s="174"/>
      <c r="X4" s="174"/>
      <c r="Y4" s="174"/>
      <c r="Z4" s="174"/>
      <c r="AA4" s="174"/>
      <c r="AB4" s="174"/>
      <c r="AC4" s="175"/>
      <c r="AD4" s="171"/>
      <c r="AE4" s="173" t="s">
        <v>28</v>
      </c>
      <c r="AF4" s="174"/>
      <c r="AG4" s="174"/>
      <c r="AH4" s="174"/>
      <c r="AI4" s="174"/>
      <c r="AJ4" s="174"/>
      <c r="AK4" s="174"/>
      <c r="AL4" s="174"/>
      <c r="AM4" s="175"/>
      <c r="AN4" s="171"/>
      <c r="AO4" s="173" t="s">
        <v>28</v>
      </c>
      <c r="AP4" s="174"/>
      <c r="AQ4" s="174"/>
      <c r="AR4" s="174"/>
      <c r="AS4" s="174"/>
      <c r="AT4" s="174"/>
      <c r="AU4" s="174"/>
      <c r="AV4" s="174"/>
      <c r="AW4" s="175"/>
      <c r="AX4" s="171"/>
      <c r="AY4" s="173" t="s">
        <v>28</v>
      </c>
      <c r="AZ4" s="174"/>
      <c r="BA4" s="174"/>
      <c r="BB4" s="174"/>
      <c r="BC4" s="174"/>
      <c r="BD4" s="174"/>
      <c r="BE4" s="174"/>
      <c r="BF4" s="174"/>
      <c r="BG4" s="175"/>
      <c r="BH4" s="171"/>
      <c r="BI4" s="173" t="s">
        <v>28</v>
      </c>
      <c r="BJ4" s="174"/>
      <c r="BK4" s="174"/>
      <c r="BL4" s="174"/>
      <c r="BM4" s="174"/>
      <c r="BN4" s="174"/>
      <c r="BO4" s="174"/>
      <c r="BP4" s="174"/>
      <c r="BQ4" s="175"/>
      <c r="BR4" s="171"/>
      <c r="BS4" s="173" t="s">
        <v>28</v>
      </c>
      <c r="BT4" s="174"/>
      <c r="BU4" s="174"/>
      <c r="BV4" s="174"/>
      <c r="BW4" s="174"/>
      <c r="BX4" s="174"/>
      <c r="BY4" s="174"/>
      <c r="BZ4" s="174"/>
      <c r="CA4" s="175"/>
      <c r="CB4" s="171"/>
      <c r="CC4" s="173" t="s">
        <v>28</v>
      </c>
      <c r="CD4" s="174"/>
      <c r="CE4" s="174"/>
      <c r="CF4" s="174"/>
      <c r="CG4" s="174"/>
      <c r="CH4" s="174"/>
      <c r="CI4" s="174"/>
      <c r="CJ4" s="174"/>
      <c r="CK4" s="175"/>
      <c r="CL4" s="171"/>
      <c r="CM4" s="173" t="s">
        <v>28</v>
      </c>
      <c r="CN4" s="174"/>
      <c r="CO4" s="174"/>
      <c r="CP4" s="174"/>
      <c r="CQ4" s="174"/>
      <c r="CR4" s="174"/>
      <c r="CS4" s="174"/>
      <c r="CT4" s="174"/>
      <c r="CU4" s="175"/>
      <c r="CV4" s="171"/>
      <c r="CW4" s="100"/>
      <c r="CX4" s="100"/>
      <c r="CY4" s="100"/>
      <c r="CZ4" s="100"/>
      <c r="DA4" s="100"/>
      <c r="DB4" s="100"/>
      <c r="DC4" s="100"/>
      <c r="DD4" s="100"/>
      <c r="DE4" s="100"/>
      <c r="DF4" s="100"/>
      <c r="DG4" s="100"/>
      <c r="DH4" s="100"/>
      <c r="DI4" s="100"/>
      <c r="DJ4" s="100"/>
      <c r="DK4" s="100"/>
      <c r="DL4" s="100"/>
      <c r="DM4" s="100"/>
      <c r="DN4" s="100"/>
      <c r="DO4" s="100"/>
      <c r="DP4" s="100"/>
      <c r="DQ4" s="100"/>
      <c r="DR4" s="100"/>
      <c r="DS4" s="100"/>
      <c r="DT4" s="100"/>
      <c r="DU4" s="100"/>
      <c r="DV4" s="100"/>
      <c r="DW4" s="100"/>
      <c r="DX4" s="100"/>
      <c r="DY4" s="100"/>
      <c r="DZ4" s="100"/>
      <c r="EA4" s="100"/>
      <c r="EB4" s="100"/>
      <c r="EC4" s="100"/>
      <c r="ED4" s="100"/>
      <c r="EE4" s="100"/>
      <c r="EF4" s="100"/>
      <c r="EG4" s="100"/>
      <c r="EH4" s="100"/>
      <c r="EI4" s="100"/>
      <c r="EJ4" s="100"/>
      <c r="EK4" s="100"/>
      <c r="EL4" s="100"/>
      <c r="EM4" s="100"/>
      <c r="EN4" s="100"/>
      <c r="EO4" s="100"/>
      <c r="EP4" s="100"/>
      <c r="EQ4" s="100"/>
      <c r="ER4" s="100"/>
      <c r="ES4" s="100"/>
      <c r="ET4" s="100"/>
      <c r="EU4" s="100"/>
      <c r="EV4" s="100"/>
      <c r="EW4" s="100"/>
      <c r="EX4" s="100"/>
      <c r="EY4" s="100"/>
      <c r="EZ4" s="100"/>
      <c r="FA4" s="100"/>
      <c r="FB4" s="100"/>
      <c r="FC4" s="100"/>
      <c r="FD4" s="100"/>
      <c r="FE4" s="100"/>
      <c r="FF4" s="100"/>
    </row>
    <row r="5" spans="1:162" s="80" customFormat="1" ht="15" customHeight="1" x14ac:dyDescent="0.35">
      <c r="B5" s="81">
        <v>3</v>
      </c>
      <c r="C5" s="81" t="s">
        <v>131</v>
      </c>
      <c r="D5" s="81">
        <v>45</v>
      </c>
      <c r="E5" s="82">
        <v>4.7300000000000004</v>
      </c>
      <c r="F5" s="82">
        <v>6.88</v>
      </c>
      <c r="G5" s="82">
        <v>14.56</v>
      </c>
      <c r="H5" s="82">
        <v>139.08000000000001</v>
      </c>
      <c r="I5" s="82">
        <v>7.0000000000000007E-2</v>
      </c>
      <c r="J5" s="171"/>
      <c r="L5" s="85"/>
      <c r="M5" s="85" t="s">
        <v>178</v>
      </c>
      <c r="N5" s="85">
        <v>45</v>
      </c>
      <c r="O5" s="84">
        <f>2.51*45/55</f>
        <v>2.0536363636363633</v>
      </c>
      <c r="P5" s="84">
        <f>3.93*45/55</f>
        <v>3.2154545454545453</v>
      </c>
      <c r="Q5" s="84">
        <f>28.88*45/55</f>
        <v>23.629090909090909</v>
      </c>
      <c r="R5" s="84">
        <f>Q5*4+P5*9+O5*4</f>
        <v>131.66999999999999</v>
      </c>
      <c r="S5" s="84">
        <f>0.48*45/55</f>
        <v>0.3927272727272727</v>
      </c>
      <c r="T5" s="171"/>
      <c r="V5" s="81">
        <v>6</v>
      </c>
      <c r="W5" s="81" t="s">
        <v>126</v>
      </c>
      <c r="X5" s="81">
        <v>35</v>
      </c>
      <c r="Y5" s="84">
        <f>2.45*35/40</f>
        <v>2.1437499999999998</v>
      </c>
      <c r="Z5" s="84">
        <f>7.55*35/40</f>
        <v>6.6062500000000002</v>
      </c>
      <c r="AA5" s="84">
        <f>14.62*35/40</f>
        <v>12.7925</v>
      </c>
      <c r="AB5" s="84">
        <f t="shared" ref="AB5" si="0">AA5*4+Z5*9+Y5*4</f>
        <v>119.20125</v>
      </c>
      <c r="AC5" s="84"/>
      <c r="AD5" s="171"/>
      <c r="AF5" s="81">
        <v>7</v>
      </c>
      <c r="AG5" s="81" t="s">
        <v>166</v>
      </c>
      <c r="AH5" s="81">
        <v>10</v>
      </c>
      <c r="AI5" s="147">
        <v>2.3199999999999998</v>
      </c>
      <c r="AJ5" s="147">
        <v>2.95</v>
      </c>
      <c r="AK5" s="147">
        <v>0</v>
      </c>
      <c r="AL5" s="147">
        <v>36</v>
      </c>
      <c r="AM5" s="84">
        <v>7.0000000000000007E-2</v>
      </c>
      <c r="AN5" s="171"/>
      <c r="AP5" s="85">
        <v>94</v>
      </c>
      <c r="AQ5" s="85" t="s">
        <v>133</v>
      </c>
      <c r="AR5" s="85">
        <v>150</v>
      </c>
      <c r="AS5" s="84">
        <v>4.0999999999999996</v>
      </c>
      <c r="AT5" s="84">
        <v>3.8</v>
      </c>
      <c r="AU5" s="84">
        <v>13.76</v>
      </c>
      <c r="AV5" s="84">
        <f>AU5*4+AT5*9+AS54</f>
        <v>89.24</v>
      </c>
      <c r="AW5" s="84">
        <f>4.55*180/1000</f>
        <v>0.81899999999999995</v>
      </c>
      <c r="AX5" s="171"/>
      <c r="AZ5" s="85">
        <v>90</v>
      </c>
      <c r="BA5" s="85" t="s">
        <v>160</v>
      </c>
      <c r="BB5" s="85">
        <v>130</v>
      </c>
      <c r="BC5" s="84">
        <v>3.14</v>
      </c>
      <c r="BD5" s="84">
        <v>3.44</v>
      </c>
      <c r="BE5" s="84">
        <v>9.34</v>
      </c>
      <c r="BF5" s="147">
        <v>80.989999999999995</v>
      </c>
      <c r="BG5" s="84">
        <v>0.65</v>
      </c>
      <c r="BH5" s="171"/>
      <c r="BJ5" s="81">
        <v>3</v>
      </c>
      <c r="BK5" s="81" t="s">
        <v>149</v>
      </c>
      <c r="BL5" s="81">
        <v>35</v>
      </c>
      <c r="BM5" s="84">
        <f>6.68*40/60</f>
        <v>4.4533333333333331</v>
      </c>
      <c r="BN5" s="84">
        <f>8.45*40/60</f>
        <v>5.6333333333333337</v>
      </c>
      <c r="BO5" s="84">
        <f>19.3*40/60</f>
        <v>12.866666666666667</v>
      </c>
      <c r="BP5" s="84">
        <f>BO5*4+BN5*9+BM5*4</f>
        <v>119.98</v>
      </c>
      <c r="BQ5" s="84">
        <f>0.11*40/60</f>
        <v>7.3333333333333334E-2</v>
      </c>
      <c r="BR5" s="171"/>
      <c r="BT5" s="85">
        <v>7</v>
      </c>
      <c r="BU5" s="85" t="s">
        <v>35</v>
      </c>
      <c r="BV5" s="85">
        <v>10</v>
      </c>
      <c r="BW5" s="112">
        <v>2.3199999999999998</v>
      </c>
      <c r="BX5" s="112">
        <v>2.95</v>
      </c>
      <c r="BY5" s="112"/>
      <c r="BZ5" s="147">
        <v>36</v>
      </c>
      <c r="CA5" s="112">
        <v>7.0000000000000007E-2</v>
      </c>
      <c r="CB5" s="171"/>
      <c r="CD5" s="81">
        <v>185</v>
      </c>
      <c r="CE5" s="81" t="s">
        <v>86</v>
      </c>
      <c r="CF5" s="81">
        <v>150</v>
      </c>
      <c r="CG5" s="84">
        <v>2.36</v>
      </c>
      <c r="CH5" s="84">
        <v>0.23</v>
      </c>
      <c r="CI5" s="84">
        <v>20.97</v>
      </c>
      <c r="CJ5" s="84">
        <f>CI5*4+CH5*9+CG5*4</f>
        <v>95.389999999999986</v>
      </c>
      <c r="CK5" s="84"/>
      <c r="CL5" s="171"/>
      <c r="CN5" s="81">
        <v>2</v>
      </c>
      <c r="CO5" s="81" t="s">
        <v>173</v>
      </c>
      <c r="CP5" s="81">
        <v>45</v>
      </c>
      <c r="CQ5" s="84">
        <v>2.5099999999999998</v>
      </c>
      <c r="CR5" s="84">
        <v>0.3</v>
      </c>
      <c r="CS5" s="84">
        <v>22.9</v>
      </c>
      <c r="CT5" s="84">
        <f>CS5*4+CR5*9+CQ5*4</f>
        <v>104.34</v>
      </c>
      <c r="CU5" s="84">
        <f>0.48*50/55</f>
        <v>0.43636363636363634</v>
      </c>
      <c r="CV5" s="171"/>
      <c r="DE5" s="100"/>
      <c r="DF5" s="100"/>
      <c r="DG5" s="100"/>
      <c r="DH5" s="100"/>
      <c r="DI5" s="100"/>
      <c r="DJ5" s="100"/>
      <c r="DK5" s="100"/>
      <c r="DL5" s="100"/>
      <c r="DM5" s="100"/>
      <c r="DN5" s="100"/>
      <c r="DO5" s="100"/>
      <c r="DP5" s="100"/>
      <c r="DQ5" s="100"/>
      <c r="DR5" s="100"/>
      <c r="DS5" s="100"/>
      <c r="DT5" s="100"/>
      <c r="DU5" s="100"/>
      <c r="DV5" s="100"/>
      <c r="DW5" s="100"/>
      <c r="DX5" s="100"/>
      <c r="DY5" s="100"/>
      <c r="DZ5" s="100"/>
      <c r="EA5" s="100"/>
      <c r="EB5" s="100"/>
      <c r="EC5" s="100"/>
      <c r="ED5" s="100"/>
      <c r="EE5" s="100"/>
      <c r="EF5" s="100"/>
      <c r="EG5" s="100"/>
      <c r="EH5" s="100"/>
      <c r="EI5" s="100"/>
      <c r="EJ5" s="100"/>
      <c r="EK5" s="100"/>
      <c r="EL5" s="100"/>
      <c r="EM5" s="100"/>
      <c r="EN5" s="100"/>
      <c r="EO5" s="100"/>
      <c r="EP5" s="100"/>
      <c r="EQ5" s="100"/>
      <c r="ER5" s="100"/>
      <c r="ES5" s="100"/>
      <c r="ET5" s="100"/>
      <c r="EU5" s="100"/>
      <c r="EV5" s="100"/>
      <c r="EW5" s="100"/>
      <c r="EX5" s="100"/>
      <c r="EY5" s="100"/>
      <c r="EZ5" s="100"/>
      <c r="FA5" s="100"/>
      <c r="FB5" s="100"/>
      <c r="FC5" s="100"/>
      <c r="FD5" s="100"/>
      <c r="FE5" s="100"/>
      <c r="FF5" s="100"/>
    </row>
    <row r="6" spans="1:162" ht="12.75" customHeight="1" x14ac:dyDescent="0.35">
      <c r="A6" s="85"/>
      <c r="B6" s="85">
        <v>235</v>
      </c>
      <c r="C6" s="85" t="s">
        <v>88</v>
      </c>
      <c r="D6" s="85">
        <v>150</v>
      </c>
      <c r="E6" s="84">
        <v>22.71</v>
      </c>
      <c r="F6" s="84">
        <v>16.14</v>
      </c>
      <c r="G6" s="84">
        <v>36.51</v>
      </c>
      <c r="H6" s="84">
        <f>G6*4+F6*9+E6*4</f>
        <v>382.14</v>
      </c>
      <c r="I6" s="84">
        <v>0.28000000000000003</v>
      </c>
      <c r="J6" s="171"/>
      <c r="L6" s="87">
        <v>224</v>
      </c>
      <c r="M6" s="88" t="s">
        <v>197</v>
      </c>
      <c r="N6" s="88">
        <v>120</v>
      </c>
      <c r="O6" s="84">
        <v>14.84</v>
      </c>
      <c r="P6" s="84">
        <v>18.22</v>
      </c>
      <c r="Q6" s="84">
        <v>2.3199999999999998</v>
      </c>
      <c r="R6" s="84">
        <f t="shared" ref="R6:R9" si="1">Q6*4+P6*9+O6*4</f>
        <v>232.62</v>
      </c>
      <c r="S6" s="84">
        <v>0.5</v>
      </c>
      <c r="T6" s="171"/>
      <c r="V6" s="81">
        <v>185</v>
      </c>
      <c r="W6" s="81" t="s">
        <v>119</v>
      </c>
      <c r="X6" s="81">
        <v>130</v>
      </c>
      <c r="Y6" s="84">
        <v>3.44</v>
      </c>
      <c r="Z6" s="84">
        <v>0.98</v>
      </c>
      <c r="AA6" s="84">
        <v>24.7</v>
      </c>
      <c r="AB6" s="147">
        <v>121.76</v>
      </c>
      <c r="AC6" s="84"/>
      <c r="AD6" s="171"/>
      <c r="AF6" s="81">
        <v>92</v>
      </c>
      <c r="AG6" s="89" t="s">
        <v>114</v>
      </c>
      <c r="AH6" s="81">
        <v>180</v>
      </c>
      <c r="AI6" s="84">
        <f>27.43*180/1000</f>
        <v>4.9373999999999993</v>
      </c>
      <c r="AJ6" s="84">
        <f>25.24*180/1000</f>
        <v>4.5431999999999997</v>
      </c>
      <c r="AK6" s="147">
        <v>14.5</v>
      </c>
      <c r="AL6" s="84">
        <f t="shared" ref="AL6" si="2">AK6*4+AJ6*9+AI55</f>
        <v>98.888800000000003</v>
      </c>
      <c r="AM6" s="84">
        <f>4.88*180/1000</f>
        <v>0.87839999999999996</v>
      </c>
      <c r="AN6" s="171"/>
      <c r="AP6" s="85">
        <v>231</v>
      </c>
      <c r="AQ6" s="85" t="s">
        <v>144</v>
      </c>
      <c r="AR6" s="81">
        <v>50</v>
      </c>
      <c r="AS6" s="84">
        <f>9.3*60/50</f>
        <v>11.16</v>
      </c>
      <c r="AT6" s="84">
        <f>6.33*60/50</f>
        <v>7.5960000000000001</v>
      </c>
      <c r="AU6" s="84">
        <f>10.38*60/50</f>
        <v>12.456000000000001</v>
      </c>
      <c r="AV6" s="147">
        <v>118.2</v>
      </c>
      <c r="AW6" s="84">
        <v>0.156</v>
      </c>
      <c r="AX6" s="171"/>
      <c r="AZ6" s="85">
        <v>341</v>
      </c>
      <c r="BA6" s="85" t="s">
        <v>132</v>
      </c>
      <c r="BB6" s="85">
        <v>50</v>
      </c>
      <c r="BC6" s="84">
        <f>15.14*50/100</f>
        <v>7.57</v>
      </c>
      <c r="BD6" s="84">
        <f>10.76*50/100</f>
        <v>5.38</v>
      </c>
      <c r="BE6" s="84">
        <f>24.33*50/100</f>
        <v>12.164999999999999</v>
      </c>
      <c r="BF6" s="84">
        <f>BE6*4+BD6*9+BC6*4</f>
        <v>127.36</v>
      </c>
      <c r="BG6" s="84"/>
      <c r="BH6" s="171"/>
      <c r="BJ6" s="81">
        <v>185</v>
      </c>
      <c r="BK6" s="81" t="s">
        <v>120</v>
      </c>
      <c r="BL6" s="81">
        <v>150</v>
      </c>
      <c r="BM6" s="84">
        <v>3.86</v>
      </c>
      <c r="BN6" s="84">
        <v>1.1000000000000001</v>
      </c>
      <c r="BO6" s="84">
        <v>26.5</v>
      </c>
      <c r="BP6" s="84">
        <f t="shared" ref="BP6:BP8" si="3">BO6*4+BN6*9+BM6*4</f>
        <v>131.34</v>
      </c>
      <c r="BQ6" s="84">
        <v>3.86</v>
      </c>
      <c r="BR6" s="171"/>
      <c r="BT6" s="85">
        <v>94</v>
      </c>
      <c r="BU6" s="85" t="s">
        <v>134</v>
      </c>
      <c r="BV6" s="85">
        <v>130</v>
      </c>
      <c r="BW6" s="84">
        <v>3.1</v>
      </c>
      <c r="BX6" s="84">
        <v>3.3</v>
      </c>
      <c r="BY6" s="84">
        <v>10.9</v>
      </c>
      <c r="BZ6" s="84">
        <f>BY6*4+BX6*9+BW6*4</f>
        <v>85.7</v>
      </c>
      <c r="CA6" s="84">
        <f>4.55*180/1000</f>
        <v>0.81899999999999995</v>
      </c>
      <c r="CB6" s="171"/>
      <c r="CD6" s="87">
        <v>217</v>
      </c>
      <c r="CE6" s="81" t="s">
        <v>140</v>
      </c>
      <c r="CF6" s="81">
        <v>85</v>
      </c>
      <c r="CG6" s="84">
        <f>4.56*85/65</f>
        <v>5.9630769230769225</v>
      </c>
      <c r="CH6" s="84">
        <f>9.44*85/65</f>
        <v>12.344615384615384</v>
      </c>
      <c r="CI6" s="84">
        <f>2.26*85/65</f>
        <v>2.9553846153846153</v>
      </c>
      <c r="CJ6" s="84">
        <f t="shared" ref="CJ6:CJ7" si="4">CI6*4+CH6*9+CG6*4</f>
        <v>146.77538461538461</v>
      </c>
      <c r="CK6" s="84">
        <f>0.78*85/65</f>
        <v>1.02</v>
      </c>
      <c r="CL6" s="171"/>
      <c r="CN6" s="81">
        <v>94</v>
      </c>
      <c r="CO6" s="81" t="s">
        <v>195</v>
      </c>
      <c r="CP6" s="81">
        <v>130</v>
      </c>
      <c r="CQ6" s="84">
        <v>3.13</v>
      </c>
      <c r="CR6" s="84">
        <v>3.3</v>
      </c>
      <c r="CS6" s="84">
        <v>10.9</v>
      </c>
      <c r="CT6" s="84">
        <f t="shared" ref="CT6:CT8" si="5">CS6*4+CR6*9+CQ6*4</f>
        <v>85.82</v>
      </c>
      <c r="CU6" s="84">
        <v>0.59</v>
      </c>
      <c r="CV6" s="171"/>
    </row>
    <row r="7" spans="1:162" x14ac:dyDescent="0.35">
      <c r="B7" s="85"/>
      <c r="C7" s="85" t="s">
        <v>87</v>
      </c>
      <c r="D7" s="85">
        <v>10</v>
      </c>
      <c r="E7" s="84">
        <f>2.5*10/100</f>
        <v>0.25</v>
      </c>
      <c r="F7" s="84">
        <f>20*10/100</f>
        <v>2</v>
      </c>
      <c r="G7" s="84">
        <f>3.2*10/100</f>
        <v>0.32</v>
      </c>
      <c r="H7" s="84">
        <f>G7*4+F7*9+E7*4</f>
        <v>20.28</v>
      </c>
      <c r="I7" s="84"/>
      <c r="J7" s="171"/>
      <c r="L7" s="81"/>
      <c r="M7" s="87" t="s">
        <v>110</v>
      </c>
      <c r="N7" s="87">
        <v>30</v>
      </c>
      <c r="O7" s="84">
        <v>0.34</v>
      </c>
      <c r="P7" s="84"/>
      <c r="Q7" s="84">
        <v>3.43</v>
      </c>
      <c r="R7" s="147">
        <v>15.05</v>
      </c>
      <c r="S7" s="84"/>
      <c r="T7" s="171"/>
      <c r="V7" s="86">
        <v>217</v>
      </c>
      <c r="W7" s="86" t="s">
        <v>140</v>
      </c>
      <c r="X7" s="86">
        <v>60</v>
      </c>
      <c r="Y7" s="122">
        <v>5.7</v>
      </c>
      <c r="Z7" s="122">
        <v>10.8</v>
      </c>
      <c r="AA7" s="154">
        <v>2.6</v>
      </c>
      <c r="AB7" s="123">
        <v>129</v>
      </c>
      <c r="AC7" s="122">
        <v>1.5</v>
      </c>
      <c r="AD7" s="171"/>
      <c r="AF7" s="81">
        <v>392</v>
      </c>
      <c r="AG7" s="81" t="s">
        <v>236</v>
      </c>
      <c r="AH7" s="81">
        <v>160</v>
      </c>
      <c r="AI7" s="84">
        <v>2.67</v>
      </c>
      <c r="AJ7" s="84">
        <v>2.34</v>
      </c>
      <c r="AK7" s="84">
        <v>14.3</v>
      </c>
      <c r="AL7" s="84">
        <v>89</v>
      </c>
      <c r="AM7" s="84">
        <v>1.2</v>
      </c>
      <c r="AN7" s="171"/>
      <c r="AQ7" s="86" t="s">
        <v>211</v>
      </c>
      <c r="AR7" s="86">
        <v>40</v>
      </c>
      <c r="AS7" s="122">
        <v>0.77</v>
      </c>
      <c r="AT7" s="122">
        <v>3.08</v>
      </c>
      <c r="AU7" s="122">
        <v>6.56</v>
      </c>
      <c r="AV7" s="147">
        <v>57.04</v>
      </c>
      <c r="AW7" s="122">
        <v>3</v>
      </c>
      <c r="AX7" s="171"/>
      <c r="AZ7" s="81">
        <v>397</v>
      </c>
      <c r="BA7" s="81" t="s">
        <v>41</v>
      </c>
      <c r="BB7" s="81">
        <v>180</v>
      </c>
      <c r="BC7" s="84">
        <v>3.15</v>
      </c>
      <c r="BD7" s="84">
        <v>2.72</v>
      </c>
      <c r="BE7" s="147">
        <v>13</v>
      </c>
      <c r="BF7" s="147">
        <v>88.92</v>
      </c>
      <c r="BG7" s="84">
        <v>1.2</v>
      </c>
      <c r="BH7" s="171"/>
      <c r="BJ7" s="81">
        <v>395</v>
      </c>
      <c r="BK7" s="81" t="s">
        <v>31</v>
      </c>
      <c r="BL7" s="81">
        <v>150</v>
      </c>
      <c r="BM7" s="84">
        <v>2.34</v>
      </c>
      <c r="BN7" s="84">
        <v>2</v>
      </c>
      <c r="BO7" s="84">
        <v>10.63</v>
      </c>
      <c r="BP7" s="84">
        <f t="shared" si="3"/>
        <v>69.88</v>
      </c>
      <c r="BQ7" s="84">
        <v>0.98</v>
      </c>
      <c r="BR7" s="171"/>
      <c r="BT7" s="86">
        <v>239</v>
      </c>
      <c r="BU7" s="86" t="s">
        <v>214</v>
      </c>
      <c r="BV7" s="86">
        <v>25</v>
      </c>
      <c r="BW7" s="122">
        <v>3.48</v>
      </c>
      <c r="BX7" s="122">
        <v>2.7</v>
      </c>
      <c r="BY7" s="122">
        <v>0.25</v>
      </c>
      <c r="BZ7" s="155">
        <v>38.700000000000003</v>
      </c>
      <c r="CA7" s="122">
        <v>0.08</v>
      </c>
      <c r="CB7" s="171"/>
      <c r="CD7" s="86">
        <v>178</v>
      </c>
      <c r="CE7" s="86" t="s">
        <v>230</v>
      </c>
      <c r="CF7" s="86">
        <v>50</v>
      </c>
      <c r="CG7" s="122">
        <v>10.6</v>
      </c>
      <c r="CH7" s="122">
        <v>7.91</v>
      </c>
      <c r="CI7" s="122">
        <v>7.44</v>
      </c>
      <c r="CJ7" s="123">
        <f t="shared" si="4"/>
        <v>143.35</v>
      </c>
      <c r="CK7" s="122">
        <v>15.48</v>
      </c>
      <c r="CL7" s="171"/>
      <c r="CO7" s="86" t="s">
        <v>111</v>
      </c>
      <c r="CP7" s="86">
        <v>60</v>
      </c>
      <c r="CQ7" s="122">
        <v>9.33</v>
      </c>
      <c r="CR7" s="122">
        <v>8.5</v>
      </c>
      <c r="CS7" s="122">
        <v>12.5</v>
      </c>
      <c r="CT7" s="84">
        <f t="shared" si="5"/>
        <v>163.82</v>
      </c>
      <c r="CU7" s="122"/>
      <c r="CV7" s="171"/>
    </row>
    <row r="8" spans="1:162" ht="12.75" customHeight="1" x14ac:dyDescent="0.35">
      <c r="B8" s="86">
        <v>41</v>
      </c>
      <c r="C8" s="86" t="s">
        <v>175</v>
      </c>
      <c r="D8" s="86">
        <v>40</v>
      </c>
      <c r="E8" s="84">
        <f>8.61*40/1000</f>
        <v>0.34439999999999998</v>
      </c>
      <c r="F8" s="84">
        <f>52.2*40/1000</f>
        <v>2.0880000000000001</v>
      </c>
      <c r="G8" s="84">
        <f>78.71*40/1000</f>
        <v>3.1483999999999996</v>
      </c>
      <c r="H8" s="84">
        <f>G8*4+F8*9+E8*4</f>
        <v>32.763199999999998</v>
      </c>
      <c r="I8" s="84">
        <f>69.5*40/1000</f>
        <v>2.78</v>
      </c>
      <c r="J8" s="171"/>
      <c r="L8" s="81">
        <v>397</v>
      </c>
      <c r="M8" s="81" t="s">
        <v>41</v>
      </c>
      <c r="N8" s="81">
        <v>150</v>
      </c>
      <c r="O8" s="152">
        <v>3.06</v>
      </c>
      <c r="P8" s="84">
        <v>2.65</v>
      </c>
      <c r="Q8" s="84">
        <v>13.2</v>
      </c>
      <c r="R8" s="84">
        <f t="shared" si="1"/>
        <v>88.889999999999986</v>
      </c>
      <c r="S8" s="84">
        <v>1.43</v>
      </c>
      <c r="T8" s="171"/>
      <c r="V8" s="86">
        <v>178</v>
      </c>
      <c r="W8" s="86" t="s">
        <v>208</v>
      </c>
      <c r="X8" s="86">
        <v>50</v>
      </c>
      <c r="Y8" s="122">
        <v>10.6</v>
      </c>
      <c r="Z8" s="122">
        <v>7.91</v>
      </c>
      <c r="AA8" s="122">
        <v>7.44</v>
      </c>
      <c r="AB8" s="155">
        <v>144</v>
      </c>
      <c r="AC8" s="122">
        <v>15.48</v>
      </c>
      <c r="AD8" s="171"/>
      <c r="AF8" s="81"/>
      <c r="AG8" s="81" t="s">
        <v>151</v>
      </c>
      <c r="AH8" s="81">
        <v>40</v>
      </c>
      <c r="AI8" s="84">
        <f>6.6*40/100</f>
        <v>2.64</v>
      </c>
      <c r="AJ8" s="84">
        <f>1.2*40/100</f>
        <v>0.48</v>
      </c>
      <c r="AK8" s="84">
        <f>33.4*40/100</f>
        <v>13.36</v>
      </c>
      <c r="AL8" s="84">
        <v>68.3</v>
      </c>
      <c r="AM8" s="84"/>
      <c r="AN8" s="171"/>
      <c r="AP8" s="85">
        <v>392</v>
      </c>
      <c r="AQ8" s="161" t="s">
        <v>237</v>
      </c>
      <c r="AR8" s="161">
        <v>170</v>
      </c>
      <c r="AS8" s="84">
        <v>0.06</v>
      </c>
      <c r="AT8" s="84">
        <v>0.02</v>
      </c>
      <c r="AU8" s="84">
        <v>9.99</v>
      </c>
      <c r="AV8" s="84">
        <v>40.380000000000003</v>
      </c>
      <c r="AW8" s="84">
        <v>0.03</v>
      </c>
      <c r="AX8" s="171"/>
      <c r="AZ8" s="81"/>
      <c r="BA8" s="81" t="s">
        <v>33</v>
      </c>
      <c r="BB8" s="81">
        <v>20</v>
      </c>
      <c r="BC8" s="84">
        <f>20*7.9/100</f>
        <v>1.58</v>
      </c>
      <c r="BD8" s="84">
        <f>1*20/100</f>
        <v>0.2</v>
      </c>
      <c r="BE8" s="84">
        <f>48.3*20/100</f>
        <v>9.66</v>
      </c>
      <c r="BF8" s="84">
        <f>BE8*4+BD8*9+BC8*4</f>
        <v>46.76</v>
      </c>
      <c r="BG8" s="84"/>
      <c r="BH8" s="171"/>
      <c r="BJ8" s="81"/>
      <c r="BK8" s="85" t="s">
        <v>37</v>
      </c>
      <c r="BL8" s="85">
        <v>95</v>
      </c>
      <c r="BM8" s="84">
        <v>0.38</v>
      </c>
      <c r="BN8" s="84">
        <v>0.38</v>
      </c>
      <c r="BO8" s="84">
        <v>9.31</v>
      </c>
      <c r="BP8" s="84">
        <f t="shared" si="3"/>
        <v>42.180000000000007</v>
      </c>
      <c r="BQ8" s="84">
        <v>9.5</v>
      </c>
      <c r="BR8" s="171"/>
      <c r="BT8" s="86">
        <v>40</v>
      </c>
      <c r="BU8" s="86" t="s">
        <v>137</v>
      </c>
      <c r="BV8" s="86">
        <v>40</v>
      </c>
      <c r="BW8" s="122">
        <v>0.34</v>
      </c>
      <c r="BX8" s="122">
        <v>2.09</v>
      </c>
      <c r="BY8" s="122">
        <v>3.15</v>
      </c>
      <c r="BZ8" s="123">
        <f t="shared" ref="BZ8" si="6">BY8*4+BX8*9+BW8*4</f>
        <v>32.769999999999996</v>
      </c>
      <c r="CA8" s="122">
        <v>2.78</v>
      </c>
      <c r="CB8" s="171"/>
      <c r="CD8" s="81">
        <v>392</v>
      </c>
      <c r="CE8" s="81" t="s">
        <v>231</v>
      </c>
      <c r="CF8" s="81">
        <v>150</v>
      </c>
      <c r="CG8" s="84">
        <v>0.04</v>
      </c>
      <c r="CH8" s="84">
        <v>0.01</v>
      </c>
      <c r="CI8" s="84">
        <v>6.99</v>
      </c>
      <c r="CJ8" s="84">
        <f>CI8*4+CH8*9+CG8*4</f>
        <v>28.21</v>
      </c>
      <c r="CK8" s="84"/>
      <c r="CL8" s="171"/>
      <c r="CO8" s="86" t="s">
        <v>233</v>
      </c>
      <c r="CP8" s="86">
        <v>40</v>
      </c>
      <c r="CQ8" s="122">
        <v>1.1499999999999999</v>
      </c>
      <c r="CR8" s="122">
        <v>2.4700000000000002</v>
      </c>
      <c r="CS8" s="122">
        <v>3.21</v>
      </c>
      <c r="CT8" s="84">
        <f t="shared" si="5"/>
        <v>39.67</v>
      </c>
      <c r="CU8" s="122">
        <v>3.72</v>
      </c>
      <c r="CV8" s="171"/>
    </row>
    <row r="9" spans="1:162" x14ac:dyDescent="0.35">
      <c r="B9" s="81">
        <v>400</v>
      </c>
      <c r="C9" s="81" t="s">
        <v>168</v>
      </c>
      <c r="D9" s="81">
        <v>180</v>
      </c>
      <c r="E9" s="147">
        <v>5.48</v>
      </c>
      <c r="F9" s="147">
        <v>4.88</v>
      </c>
      <c r="G9" s="147">
        <v>9.07</v>
      </c>
      <c r="H9" s="84">
        <f t="shared" ref="H9" si="7">G9*4+F9*9+E9*4</f>
        <v>102.12</v>
      </c>
      <c r="I9" s="147">
        <v>2.46</v>
      </c>
      <c r="J9" s="171"/>
      <c r="L9" s="81"/>
      <c r="M9" s="81" t="s">
        <v>151</v>
      </c>
      <c r="N9" s="81">
        <v>20</v>
      </c>
      <c r="O9" s="84">
        <f>6.6*20/100</f>
        <v>1.32</v>
      </c>
      <c r="P9" s="84">
        <f>1.2*20/100</f>
        <v>0.24</v>
      </c>
      <c r="Q9" s="84">
        <f>33.4*20/100</f>
        <v>6.68</v>
      </c>
      <c r="R9" s="84">
        <f t="shared" si="1"/>
        <v>34.159999999999997</v>
      </c>
      <c r="S9" s="84"/>
      <c r="T9" s="171"/>
      <c r="V9" s="81">
        <v>395</v>
      </c>
      <c r="W9" s="81" t="s">
        <v>31</v>
      </c>
      <c r="X9" s="81">
        <v>150</v>
      </c>
      <c r="Y9" s="84">
        <v>2.34</v>
      </c>
      <c r="Z9" s="84">
        <v>2</v>
      </c>
      <c r="AA9" s="147">
        <v>10.6</v>
      </c>
      <c r="AB9" s="147">
        <v>69.88</v>
      </c>
      <c r="AC9" s="84">
        <v>0.98</v>
      </c>
      <c r="AD9" s="171"/>
      <c r="AF9" s="81"/>
      <c r="AG9" s="81"/>
      <c r="AH9" s="91"/>
      <c r="AI9" s="82"/>
      <c r="AJ9" s="82"/>
      <c r="AK9" s="83"/>
      <c r="AL9" s="83"/>
      <c r="AM9" s="82"/>
      <c r="AN9" s="171"/>
      <c r="AP9" s="81"/>
      <c r="AQ9" s="81" t="s">
        <v>33</v>
      </c>
      <c r="AR9" s="81">
        <v>20</v>
      </c>
      <c r="AS9" s="84">
        <f>7.9*20/100</f>
        <v>1.58</v>
      </c>
      <c r="AT9" s="84">
        <f>1*20/100</f>
        <v>0.2</v>
      </c>
      <c r="AU9" s="84">
        <f>48.3*20/100</f>
        <v>9.66</v>
      </c>
      <c r="AV9" s="147">
        <v>46.76</v>
      </c>
      <c r="AW9" s="84"/>
      <c r="AX9" s="171"/>
      <c r="AZ9" s="81"/>
      <c r="BA9" s="81"/>
      <c r="BB9" s="101"/>
      <c r="BC9" s="84"/>
      <c r="BD9" s="84"/>
      <c r="BE9" s="84"/>
      <c r="BF9" s="84"/>
      <c r="BG9" s="84"/>
      <c r="BH9" s="171"/>
      <c r="BJ9" s="85"/>
      <c r="BK9" s="85"/>
      <c r="BL9" s="85"/>
      <c r="BM9" s="93"/>
      <c r="BN9" s="93"/>
      <c r="BO9" s="93"/>
      <c r="BP9" s="93"/>
      <c r="BQ9" s="93"/>
      <c r="BR9" s="171"/>
      <c r="BT9" s="81">
        <v>394</v>
      </c>
      <c r="BU9" s="81" t="s">
        <v>224</v>
      </c>
      <c r="BV9" s="81">
        <v>160</v>
      </c>
      <c r="BW9" s="112">
        <v>2.67</v>
      </c>
      <c r="BX9" s="112">
        <v>2.34</v>
      </c>
      <c r="BY9" s="112">
        <v>14.3</v>
      </c>
      <c r="BZ9" s="147">
        <v>89</v>
      </c>
      <c r="CA9" s="112">
        <v>1.2</v>
      </c>
      <c r="CB9" s="171"/>
      <c r="CD9" s="81"/>
      <c r="CE9" s="81" t="s">
        <v>151</v>
      </c>
      <c r="CF9" s="81">
        <v>20</v>
      </c>
      <c r="CG9" s="84">
        <f>6.6*20/100</f>
        <v>1.32</v>
      </c>
      <c r="CH9" s="84">
        <f>1.2*20/100</f>
        <v>0.24</v>
      </c>
      <c r="CI9" s="84">
        <f>33.4*20/100</f>
        <v>6.68</v>
      </c>
      <c r="CJ9" s="84">
        <f>CI9*4+CH9*9+CG9*4</f>
        <v>34.159999999999997</v>
      </c>
      <c r="CK9" s="84"/>
      <c r="CL9" s="171"/>
      <c r="CN9" s="81">
        <v>392</v>
      </c>
      <c r="CO9" s="81" t="s">
        <v>232</v>
      </c>
      <c r="CP9" s="81">
        <v>150</v>
      </c>
      <c r="CQ9" s="84">
        <v>0.04</v>
      </c>
      <c r="CR9" s="84">
        <v>0.01</v>
      </c>
      <c r="CS9" s="84">
        <v>6.99</v>
      </c>
      <c r="CT9" s="84">
        <f>CS9*4+CR9*9+CQ9*4</f>
        <v>28.21</v>
      </c>
      <c r="CU9" s="84"/>
      <c r="CV9" s="171"/>
    </row>
    <row r="10" spans="1:162" x14ac:dyDescent="0.35">
      <c r="B10" s="81"/>
      <c r="J10" s="171"/>
      <c r="O10" s="85"/>
      <c r="P10" s="85"/>
      <c r="Q10" s="85"/>
      <c r="R10" s="85"/>
      <c r="S10" s="85"/>
      <c r="T10" s="171"/>
      <c r="V10" s="81"/>
      <c r="W10" s="81" t="s">
        <v>151</v>
      </c>
      <c r="X10" s="81">
        <v>20</v>
      </c>
      <c r="Y10" s="84">
        <f>6.6*20/100</f>
        <v>1.32</v>
      </c>
      <c r="Z10" s="84">
        <f>1.2*20/100</f>
        <v>0.24</v>
      </c>
      <c r="AA10" s="84">
        <f>33.4*20/100</f>
        <v>6.68</v>
      </c>
      <c r="AB10" s="84">
        <f>AA10*4+Z10*9+Y10*4</f>
        <v>34.159999999999997</v>
      </c>
      <c r="AC10" s="84"/>
      <c r="AD10" s="171"/>
      <c r="AN10" s="171"/>
      <c r="AX10" s="171"/>
      <c r="BH10" s="171"/>
      <c r="BR10" s="171"/>
      <c r="BT10" s="90"/>
      <c r="BU10" s="81" t="s">
        <v>33</v>
      </c>
      <c r="BV10" s="81">
        <v>20</v>
      </c>
      <c r="BW10" s="84">
        <f>7.9*20/100</f>
        <v>1.58</v>
      </c>
      <c r="BX10" s="84">
        <f>1*20/100</f>
        <v>0.2</v>
      </c>
      <c r="BY10" s="84">
        <f>48.3*20/100</f>
        <v>9.66</v>
      </c>
      <c r="BZ10" s="84">
        <f>BY10*4+BX10*9+BW10*4</f>
        <v>46.76</v>
      </c>
      <c r="CA10" s="84"/>
      <c r="CB10" s="171"/>
      <c r="CL10" s="171"/>
      <c r="CN10" s="81"/>
      <c r="CO10" s="81" t="s">
        <v>151</v>
      </c>
      <c r="CP10" s="81">
        <v>20</v>
      </c>
      <c r="CQ10" s="84">
        <f>6.6*20/100</f>
        <v>1.32</v>
      </c>
      <c r="CR10" s="84">
        <f>1.2*20/100</f>
        <v>0.24</v>
      </c>
      <c r="CS10" s="84">
        <f>33.4*20/100</f>
        <v>6.68</v>
      </c>
      <c r="CT10" s="84">
        <f>CS10*4+CR10*9+CQ10*4</f>
        <v>34.159999999999997</v>
      </c>
      <c r="CU10" s="84"/>
      <c r="CV10" s="171"/>
    </row>
    <row r="11" spans="1:162" x14ac:dyDescent="0.35">
      <c r="J11" s="171"/>
      <c r="T11" s="171"/>
      <c r="Y11" s="93"/>
      <c r="Z11" s="93"/>
      <c r="AA11" s="93"/>
      <c r="AB11" s="93"/>
      <c r="AD11" s="171"/>
      <c r="AN11" s="171"/>
      <c r="AX11" s="171"/>
      <c r="BH11" s="171"/>
      <c r="BR11" s="171"/>
      <c r="BW11" s="93"/>
      <c r="BX11" s="93"/>
      <c r="BY11" s="93"/>
      <c r="BZ11" s="93"/>
      <c r="CB11" s="171"/>
      <c r="CL11" s="171"/>
      <c r="CQ11" s="93"/>
      <c r="CR11" s="93"/>
      <c r="CS11" s="93"/>
      <c r="CT11" s="93"/>
      <c r="CU11" s="93"/>
      <c r="CV11" s="171"/>
    </row>
    <row r="12" spans="1:162" x14ac:dyDescent="0.35">
      <c r="A12" s="94" t="s">
        <v>32</v>
      </c>
      <c r="B12" s="94"/>
      <c r="C12" s="94"/>
      <c r="D12" s="95">
        <f>SUM(D5:D11)</f>
        <v>425</v>
      </c>
      <c r="E12" s="95">
        <f t="shared" ref="E12:I12" si="8">SUM(E5:E11)</f>
        <v>33.514400000000002</v>
      </c>
      <c r="F12" s="95">
        <f t="shared" si="8"/>
        <v>31.988</v>
      </c>
      <c r="G12" s="95">
        <f t="shared" si="8"/>
        <v>63.608400000000003</v>
      </c>
      <c r="H12" s="95">
        <f t="shared" si="8"/>
        <v>676.38319999999999</v>
      </c>
      <c r="I12" s="95">
        <f t="shared" si="8"/>
        <v>5.59</v>
      </c>
      <c r="J12" s="171"/>
      <c r="K12" s="94" t="s">
        <v>32</v>
      </c>
      <c r="L12" s="94"/>
      <c r="M12" s="94"/>
      <c r="N12" s="95">
        <f t="shared" ref="N12:S12" si="9">SUM(N5:N10)</f>
        <v>365</v>
      </c>
      <c r="O12" s="95">
        <f t="shared" si="9"/>
        <v>21.613636363636363</v>
      </c>
      <c r="P12" s="95">
        <f t="shared" si="9"/>
        <v>24.325454545454541</v>
      </c>
      <c r="Q12" s="95">
        <f t="shared" si="9"/>
        <v>49.259090909090908</v>
      </c>
      <c r="R12" s="95">
        <f t="shared" si="9"/>
        <v>502.39</v>
      </c>
      <c r="S12" s="95">
        <f t="shared" si="9"/>
        <v>2.3227272727272728</v>
      </c>
      <c r="T12" s="171"/>
      <c r="U12" s="94" t="s">
        <v>32</v>
      </c>
      <c r="V12" s="94"/>
      <c r="W12" s="94"/>
      <c r="X12" s="95">
        <f t="shared" ref="X12:AC12" si="10">SUM(X5:X11)</f>
        <v>445</v>
      </c>
      <c r="Y12" s="95">
        <f t="shared" si="10"/>
        <v>25.543749999999999</v>
      </c>
      <c r="Z12" s="95">
        <f t="shared" si="10"/>
        <v>28.536249999999999</v>
      </c>
      <c r="AA12" s="95">
        <f t="shared" si="10"/>
        <v>64.8125</v>
      </c>
      <c r="AB12" s="95">
        <f t="shared" si="10"/>
        <v>618.00125000000003</v>
      </c>
      <c r="AC12" s="95">
        <f t="shared" si="10"/>
        <v>17.96</v>
      </c>
      <c r="AD12" s="171"/>
      <c r="AE12" s="94" t="s">
        <v>32</v>
      </c>
      <c r="AF12" s="94"/>
      <c r="AG12" s="94"/>
      <c r="AH12" s="95">
        <f t="shared" ref="AH12:AM12" si="11">SUM(AH5:AH9)</f>
        <v>390</v>
      </c>
      <c r="AI12" s="95">
        <f t="shared" si="11"/>
        <v>12.567399999999999</v>
      </c>
      <c r="AJ12" s="95">
        <f t="shared" si="11"/>
        <v>10.3132</v>
      </c>
      <c r="AK12" s="95">
        <f t="shared" si="11"/>
        <v>42.16</v>
      </c>
      <c r="AL12" s="95">
        <f t="shared" si="11"/>
        <v>292.18880000000001</v>
      </c>
      <c r="AM12" s="95">
        <f t="shared" si="11"/>
        <v>2.1483999999999996</v>
      </c>
      <c r="AN12" s="171"/>
      <c r="AO12" s="94" t="s">
        <v>32</v>
      </c>
      <c r="AP12" s="94"/>
      <c r="AQ12" s="94"/>
      <c r="AR12" s="95">
        <f>SUM(AR5:AR11)</f>
        <v>430</v>
      </c>
      <c r="AS12" s="95">
        <f t="shared" ref="AS12:AW12" si="12">SUM(AS5:AS11)</f>
        <v>17.670000000000002</v>
      </c>
      <c r="AT12" s="95">
        <f t="shared" si="12"/>
        <v>14.696</v>
      </c>
      <c r="AU12" s="95">
        <f t="shared" si="12"/>
        <v>52.426000000000002</v>
      </c>
      <c r="AV12" s="95">
        <f t="shared" si="12"/>
        <v>351.62</v>
      </c>
      <c r="AW12" s="95">
        <f t="shared" si="12"/>
        <v>4.0049999999999999</v>
      </c>
      <c r="AX12" s="171"/>
      <c r="AY12" s="94" t="s">
        <v>32</v>
      </c>
      <c r="AZ12" s="94"/>
      <c r="BA12" s="94"/>
      <c r="BB12" s="95">
        <f>SUM(BB5:BB11)</f>
        <v>380</v>
      </c>
      <c r="BC12" s="95">
        <f>SUM(BC5:BC9)</f>
        <v>15.440000000000001</v>
      </c>
      <c r="BD12" s="95">
        <f>SUM(BD5:BD9)</f>
        <v>11.74</v>
      </c>
      <c r="BE12" s="95">
        <f>SUM(BE5:BE9)</f>
        <v>44.164999999999992</v>
      </c>
      <c r="BF12" s="95">
        <f>SUM(BF5:BF9)</f>
        <v>344.03</v>
      </c>
      <c r="BG12" s="95">
        <f>SUM(BG5:BG9)</f>
        <v>1.85</v>
      </c>
      <c r="BH12" s="171"/>
      <c r="BI12" s="94" t="s">
        <v>32</v>
      </c>
      <c r="BJ12" s="94"/>
      <c r="BK12" s="94"/>
      <c r="BL12" s="95">
        <f>SUM(BL5:BL11)</f>
        <v>430</v>
      </c>
      <c r="BM12" s="95">
        <f t="shared" ref="BM12:BQ12" si="13">SUM(BM5:BM11)</f>
        <v>11.033333333333333</v>
      </c>
      <c r="BN12" s="95">
        <f t="shared" si="13"/>
        <v>9.1133333333333351</v>
      </c>
      <c r="BO12" s="95">
        <f t="shared" si="13"/>
        <v>59.306666666666672</v>
      </c>
      <c r="BP12" s="95">
        <f t="shared" si="13"/>
        <v>363.38</v>
      </c>
      <c r="BQ12" s="95">
        <f t="shared" si="13"/>
        <v>14.413333333333334</v>
      </c>
      <c r="BR12" s="171"/>
      <c r="BS12" s="94" t="s">
        <v>32</v>
      </c>
      <c r="BT12" s="94"/>
      <c r="BU12" s="94"/>
      <c r="BV12" s="95">
        <f>SUM(BV5:BV11)</f>
        <v>385</v>
      </c>
      <c r="BW12" s="95">
        <f t="shared" ref="BW12:CA12" si="14">SUM(BW5:BW11)</f>
        <v>13.49</v>
      </c>
      <c r="BX12" s="95">
        <f t="shared" si="14"/>
        <v>13.579999999999998</v>
      </c>
      <c r="BY12" s="95">
        <f t="shared" si="14"/>
        <v>38.260000000000005</v>
      </c>
      <c r="BZ12" s="95">
        <f t="shared" si="14"/>
        <v>328.93</v>
      </c>
      <c r="CA12" s="95">
        <f t="shared" si="14"/>
        <v>4.9489999999999998</v>
      </c>
      <c r="CB12" s="171"/>
      <c r="CC12" s="94" t="s">
        <v>32</v>
      </c>
      <c r="CD12" s="94"/>
      <c r="CE12" s="94"/>
      <c r="CF12" s="95">
        <f>SUM(CF5:CF11)</f>
        <v>455</v>
      </c>
      <c r="CG12" s="95">
        <f t="shared" ref="CG12:CK12" si="15">SUM(CG5:CG11)</f>
        <v>20.283076923076919</v>
      </c>
      <c r="CH12" s="95">
        <f t="shared" si="15"/>
        <v>20.734615384615385</v>
      </c>
      <c r="CI12" s="95">
        <f t="shared" si="15"/>
        <v>45.035384615384615</v>
      </c>
      <c r="CJ12" s="95">
        <f t="shared" si="15"/>
        <v>447.88538461538462</v>
      </c>
      <c r="CK12" s="95">
        <f t="shared" si="15"/>
        <v>16.5</v>
      </c>
      <c r="CL12" s="171"/>
      <c r="CM12" s="94" t="s">
        <v>32</v>
      </c>
      <c r="CN12" s="94"/>
      <c r="CO12" s="94"/>
      <c r="CP12" s="95">
        <f t="shared" ref="CP12" si="16">SUM(CP5:CP11)</f>
        <v>445</v>
      </c>
      <c r="CQ12" s="95">
        <f>SUM(CQ5:CQ11)</f>
        <v>17.479999999999997</v>
      </c>
      <c r="CR12" s="95">
        <f t="shared" ref="CR12:CU12" si="17">SUM(CR5:CR11)</f>
        <v>14.82</v>
      </c>
      <c r="CS12" s="95">
        <f t="shared" si="17"/>
        <v>63.18</v>
      </c>
      <c r="CT12" s="95">
        <f t="shared" si="17"/>
        <v>456.02</v>
      </c>
      <c r="CU12" s="95">
        <f t="shared" si="17"/>
        <v>4.7463636363636361</v>
      </c>
      <c r="CV12" s="171"/>
    </row>
    <row r="13" spans="1:162" x14ac:dyDescent="0.35">
      <c r="A13" s="94" t="s">
        <v>30</v>
      </c>
      <c r="B13" s="94"/>
      <c r="C13" s="94"/>
      <c r="D13" s="94" t="s">
        <v>123</v>
      </c>
      <c r="E13" s="94">
        <v>10.5</v>
      </c>
      <c r="F13" s="94">
        <v>11.75</v>
      </c>
      <c r="G13" s="95">
        <v>50.75</v>
      </c>
      <c r="H13" s="95">
        <v>350</v>
      </c>
      <c r="I13" s="94"/>
      <c r="J13" s="171"/>
      <c r="K13" s="94" t="s">
        <v>30</v>
      </c>
      <c r="L13" s="94"/>
      <c r="M13" s="94"/>
      <c r="N13" s="94" t="s">
        <v>123</v>
      </c>
      <c r="O13" s="94">
        <v>10.5</v>
      </c>
      <c r="P13" s="94">
        <v>11.75</v>
      </c>
      <c r="Q13" s="95">
        <v>50.75</v>
      </c>
      <c r="R13" s="95">
        <v>350</v>
      </c>
      <c r="S13" s="94"/>
      <c r="T13" s="171"/>
      <c r="U13" s="94" t="s">
        <v>30</v>
      </c>
      <c r="V13" s="94"/>
      <c r="W13" s="94"/>
      <c r="X13" s="94" t="s">
        <v>123</v>
      </c>
      <c r="Y13" s="94">
        <v>10.5</v>
      </c>
      <c r="Z13" s="94">
        <v>11.75</v>
      </c>
      <c r="AA13" s="95">
        <v>50.75</v>
      </c>
      <c r="AB13" s="95">
        <v>350</v>
      </c>
      <c r="AC13" s="94"/>
      <c r="AD13" s="171"/>
      <c r="AE13" s="94" t="s">
        <v>30</v>
      </c>
      <c r="AF13" s="94"/>
      <c r="AG13" s="94"/>
      <c r="AH13" s="94" t="s">
        <v>123</v>
      </c>
      <c r="AI13" s="94">
        <v>10.5</v>
      </c>
      <c r="AJ13" s="94">
        <v>11.75</v>
      </c>
      <c r="AK13" s="95">
        <v>50.75</v>
      </c>
      <c r="AL13" s="95">
        <v>350</v>
      </c>
      <c r="AM13" s="94"/>
      <c r="AN13" s="171"/>
      <c r="AO13" s="94" t="s">
        <v>30</v>
      </c>
      <c r="AP13" s="94"/>
      <c r="AQ13" s="94"/>
      <c r="AR13" s="94" t="s">
        <v>123</v>
      </c>
      <c r="AS13" s="94">
        <v>10.5</v>
      </c>
      <c r="AT13" s="94">
        <v>11.75</v>
      </c>
      <c r="AU13" s="95">
        <v>50.75</v>
      </c>
      <c r="AV13" s="95">
        <v>350</v>
      </c>
      <c r="AW13" s="94"/>
      <c r="AX13" s="171"/>
      <c r="AY13" s="94" t="s">
        <v>30</v>
      </c>
      <c r="AZ13" s="94"/>
      <c r="BA13" s="94"/>
      <c r="BB13" s="94" t="s">
        <v>123</v>
      </c>
      <c r="BC13" s="94">
        <v>10.5</v>
      </c>
      <c r="BD13" s="94">
        <v>11.75</v>
      </c>
      <c r="BE13" s="95">
        <v>50.75</v>
      </c>
      <c r="BF13" s="95">
        <v>350</v>
      </c>
      <c r="BG13" s="94"/>
      <c r="BH13" s="171"/>
      <c r="BI13" s="94" t="s">
        <v>30</v>
      </c>
      <c r="BJ13" s="94"/>
      <c r="BK13" s="94"/>
      <c r="BL13" s="94" t="s">
        <v>123</v>
      </c>
      <c r="BM13" s="94">
        <v>10.5</v>
      </c>
      <c r="BN13" s="94">
        <v>11.75</v>
      </c>
      <c r="BO13" s="95">
        <v>50.75</v>
      </c>
      <c r="BP13" s="95">
        <v>350</v>
      </c>
      <c r="BQ13" s="94"/>
      <c r="BR13" s="171"/>
      <c r="BS13" s="94" t="s">
        <v>30</v>
      </c>
      <c r="BT13" s="94"/>
      <c r="BU13" s="94"/>
      <c r="BV13" s="94" t="s">
        <v>123</v>
      </c>
      <c r="BW13" s="94">
        <v>10.5</v>
      </c>
      <c r="BX13" s="94">
        <v>11.75</v>
      </c>
      <c r="BY13" s="95">
        <v>50.75</v>
      </c>
      <c r="BZ13" s="95">
        <v>350</v>
      </c>
      <c r="CA13" s="94"/>
      <c r="CB13" s="171"/>
      <c r="CC13" s="94" t="s">
        <v>30</v>
      </c>
      <c r="CD13" s="94"/>
      <c r="CE13" s="94"/>
      <c r="CF13" s="94" t="s">
        <v>123</v>
      </c>
      <c r="CG13" s="94">
        <v>10.5</v>
      </c>
      <c r="CH13" s="94">
        <v>11.75</v>
      </c>
      <c r="CI13" s="95">
        <v>50.75</v>
      </c>
      <c r="CJ13" s="95">
        <v>350</v>
      </c>
      <c r="CK13" s="94"/>
      <c r="CL13" s="171"/>
      <c r="CM13" s="94" t="s">
        <v>30</v>
      </c>
      <c r="CN13" s="94"/>
      <c r="CO13" s="94"/>
      <c r="CP13" s="94" t="s">
        <v>123</v>
      </c>
      <c r="CQ13" s="94">
        <v>10.5</v>
      </c>
      <c r="CR13" s="94">
        <v>11.75</v>
      </c>
      <c r="CS13" s="95">
        <v>50.75</v>
      </c>
      <c r="CT13" s="95">
        <v>350</v>
      </c>
      <c r="CU13" s="94"/>
      <c r="CV13" s="171"/>
    </row>
    <row r="14" spans="1:162" x14ac:dyDescent="0.35">
      <c r="J14" s="171"/>
      <c r="Q14" s="92"/>
      <c r="R14" s="92"/>
      <c r="T14" s="171"/>
      <c r="AA14" s="92"/>
      <c r="AB14" s="92"/>
      <c r="AD14" s="171"/>
      <c r="AK14" s="92"/>
      <c r="AL14" s="92"/>
      <c r="AN14" s="171"/>
      <c r="AU14" s="92"/>
      <c r="AV14" s="92"/>
      <c r="AX14" s="171"/>
      <c r="BE14" s="92"/>
      <c r="BF14" s="92"/>
      <c r="BH14" s="171"/>
      <c r="BO14" s="92"/>
      <c r="BP14" s="92"/>
      <c r="BR14" s="171"/>
      <c r="BY14" s="92"/>
      <c r="BZ14" s="92"/>
      <c r="CB14" s="171"/>
      <c r="CI14" s="92"/>
      <c r="CJ14" s="92"/>
      <c r="CL14" s="171"/>
      <c r="CS14" s="92"/>
      <c r="CT14" s="92"/>
      <c r="CV14" s="171"/>
    </row>
    <row r="15" spans="1:162" s="80" customFormat="1" x14ac:dyDescent="0.35">
      <c r="A15" s="173" t="s">
        <v>0</v>
      </c>
      <c r="B15" s="174"/>
      <c r="C15" s="174"/>
      <c r="D15" s="174"/>
      <c r="E15" s="174"/>
      <c r="F15" s="174"/>
      <c r="G15" s="174"/>
      <c r="H15" s="174"/>
      <c r="I15" s="175"/>
      <c r="J15" s="171"/>
      <c r="K15" s="173" t="s">
        <v>0</v>
      </c>
      <c r="L15" s="174"/>
      <c r="M15" s="174"/>
      <c r="N15" s="174"/>
      <c r="O15" s="174"/>
      <c r="P15" s="174"/>
      <c r="Q15" s="174"/>
      <c r="R15" s="174"/>
      <c r="S15" s="175"/>
      <c r="T15" s="171"/>
      <c r="U15" s="173" t="s">
        <v>0</v>
      </c>
      <c r="V15" s="174"/>
      <c r="W15" s="174"/>
      <c r="X15" s="174"/>
      <c r="Y15" s="174"/>
      <c r="Z15" s="174"/>
      <c r="AA15" s="174"/>
      <c r="AB15" s="174"/>
      <c r="AC15" s="175"/>
      <c r="AD15" s="171"/>
      <c r="AE15" s="173" t="s">
        <v>0</v>
      </c>
      <c r="AF15" s="174"/>
      <c r="AG15" s="174"/>
      <c r="AH15" s="174"/>
      <c r="AI15" s="174"/>
      <c r="AJ15" s="174"/>
      <c r="AK15" s="174"/>
      <c r="AL15" s="174"/>
      <c r="AM15" s="175"/>
      <c r="AN15" s="171"/>
      <c r="AO15" s="173" t="s">
        <v>0</v>
      </c>
      <c r="AP15" s="174"/>
      <c r="AQ15" s="174"/>
      <c r="AR15" s="174"/>
      <c r="AS15" s="174"/>
      <c r="AT15" s="174"/>
      <c r="AU15" s="174"/>
      <c r="AV15" s="174"/>
      <c r="AW15" s="175"/>
      <c r="AX15" s="171"/>
      <c r="AY15" s="173" t="s">
        <v>0</v>
      </c>
      <c r="AZ15" s="174"/>
      <c r="BA15" s="174"/>
      <c r="BB15" s="174"/>
      <c r="BC15" s="174"/>
      <c r="BD15" s="174"/>
      <c r="BE15" s="174"/>
      <c r="BF15" s="174"/>
      <c r="BG15" s="175"/>
      <c r="BH15" s="171"/>
      <c r="BI15" s="173" t="s">
        <v>0</v>
      </c>
      <c r="BJ15" s="174"/>
      <c r="BK15" s="174"/>
      <c r="BL15" s="174"/>
      <c r="BM15" s="174"/>
      <c r="BN15" s="174"/>
      <c r="BO15" s="174"/>
      <c r="BP15" s="174"/>
      <c r="BQ15" s="175"/>
      <c r="BR15" s="171"/>
      <c r="BS15" s="173" t="s">
        <v>0</v>
      </c>
      <c r="BT15" s="174"/>
      <c r="BU15" s="174"/>
      <c r="BV15" s="174"/>
      <c r="BW15" s="174"/>
      <c r="BX15" s="174"/>
      <c r="BY15" s="174"/>
      <c r="BZ15" s="174"/>
      <c r="CA15" s="175"/>
      <c r="CB15" s="171"/>
      <c r="CC15" s="173" t="s">
        <v>0</v>
      </c>
      <c r="CD15" s="174"/>
      <c r="CE15" s="174"/>
      <c r="CF15" s="174"/>
      <c r="CG15" s="174"/>
      <c r="CH15" s="174"/>
      <c r="CI15" s="174"/>
      <c r="CJ15" s="174"/>
      <c r="CK15" s="175"/>
      <c r="CL15" s="171"/>
      <c r="CM15" s="173" t="s">
        <v>0</v>
      </c>
      <c r="CN15" s="174"/>
      <c r="CO15" s="174"/>
      <c r="CP15" s="174"/>
      <c r="CQ15" s="174"/>
      <c r="CR15" s="174"/>
      <c r="CS15" s="174"/>
      <c r="CT15" s="174"/>
      <c r="CU15" s="175"/>
      <c r="CV15" s="171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</row>
    <row r="16" spans="1:162" x14ac:dyDescent="0.35">
      <c r="C16" s="86" t="s">
        <v>201</v>
      </c>
      <c r="D16" s="86">
        <v>20</v>
      </c>
      <c r="E16" s="122">
        <v>4.0999999999999996</v>
      </c>
      <c r="F16" s="122">
        <v>2.2999999999999998</v>
      </c>
      <c r="G16" s="122">
        <v>13.2</v>
      </c>
      <c r="H16" s="151">
        <v>94</v>
      </c>
      <c r="J16" s="171"/>
      <c r="M16" s="86" t="s">
        <v>201</v>
      </c>
      <c r="N16" s="86">
        <v>20</v>
      </c>
      <c r="O16" s="122">
        <v>4.0999999999999996</v>
      </c>
      <c r="P16" s="122">
        <v>2.2999999999999998</v>
      </c>
      <c r="Q16" s="122">
        <v>13.2</v>
      </c>
      <c r="R16" s="151">
        <v>94</v>
      </c>
      <c r="S16" s="122"/>
      <c r="T16" s="171"/>
      <c r="AD16" s="171"/>
      <c r="AN16" s="171"/>
      <c r="AQ16" s="85" t="s">
        <v>37</v>
      </c>
      <c r="AR16" s="85">
        <v>95</v>
      </c>
      <c r="AS16" s="84">
        <v>0.38</v>
      </c>
      <c r="AT16" s="84">
        <v>0.38</v>
      </c>
      <c r="AU16" s="84">
        <v>9.31</v>
      </c>
      <c r="AV16" s="84">
        <f t="shared" ref="AV16" si="18">AU16*4+AT16*9+AS16*4</f>
        <v>42.180000000000007</v>
      </c>
      <c r="AW16" s="84">
        <v>9.5</v>
      </c>
      <c r="AX16" s="171"/>
      <c r="AZ16" s="81"/>
      <c r="BA16" s="81" t="s">
        <v>169</v>
      </c>
      <c r="BB16" s="81">
        <v>180</v>
      </c>
      <c r="BC16" s="96">
        <f>200*0.54/180</f>
        <v>0.6</v>
      </c>
      <c r="BD16" s="96">
        <f>200*0.18/180</f>
        <v>0.2</v>
      </c>
      <c r="BE16" s="96">
        <f>27.36*200/180</f>
        <v>30.4</v>
      </c>
      <c r="BF16" s="83">
        <f>BE16*4+BD16*9+BC16*4</f>
        <v>125.8</v>
      </c>
      <c r="BG16" s="82">
        <f>7.2*200/180</f>
        <v>8</v>
      </c>
      <c r="BH16" s="171"/>
      <c r="BJ16" s="81"/>
      <c r="BK16" s="81" t="s">
        <v>169</v>
      </c>
      <c r="BL16" s="81">
        <v>150</v>
      </c>
      <c r="BM16" s="96">
        <v>0.45</v>
      </c>
      <c r="BN16" s="96">
        <v>0.15</v>
      </c>
      <c r="BO16" s="96">
        <v>22.8</v>
      </c>
      <c r="BP16" s="83">
        <f>BO16*4+BN16*9+BM16*4</f>
        <v>94.35</v>
      </c>
      <c r="BQ16" s="82">
        <f>7.2*200/180</f>
        <v>8</v>
      </c>
      <c r="BR16" s="171"/>
      <c r="BU16" s="85" t="s">
        <v>37</v>
      </c>
      <c r="BV16" s="85">
        <v>95</v>
      </c>
      <c r="BW16" s="84">
        <v>0.38</v>
      </c>
      <c r="BX16" s="84">
        <v>0.38</v>
      </c>
      <c r="BY16" s="84">
        <v>9.31</v>
      </c>
      <c r="BZ16" s="84">
        <f t="shared" ref="BZ16" si="19">BY16*4+BX16*9+BW16*4</f>
        <v>42.180000000000007</v>
      </c>
      <c r="CA16" s="84">
        <v>9.5</v>
      </c>
      <c r="CB16" s="171"/>
      <c r="CE16" s="85" t="s">
        <v>37</v>
      </c>
      <c r="CF16" s="85">
        <v>95</v>
      </c>
      <c r="CG16" s="84">
        <v>0.38</v>
      </c>
      <c r="CH16" s="84">
        <v>0.38</v>
      </c>
      <c r="CI16" s="84">
        <v>9.31</v>
      </c>
      <c r="CJ16" s="84">
        <f t="shared" ref="CJ16" si="20">CI16*4+CH16*9+CG16*4</f>
        <v>42.180000000000007</v>
      </c>
      <c r="CK16" s="84">
        <v>9.5</v>
      </c>
      <c r="CL16" s="171"/>
      <c r="CV16" s="171"/>
    </row>
    <row r="17" spans="1:162" x14ac:dyDescent="0.35">
      <c r="B17" s="85">
        <v>401</v>
      </c>
      <c r="C17" s="85" t="s">
        <v>165</v>
      </c>
      <c r="D17" s="81">
        <v>150</v>
      </c>
      <c r="E17" s="84">
        <v>4.3499999999999996</v>
      </c>
      <c r="F17" s="84">
        <v>3.75</v>
      </c>
      <c r="G17" s="84">
        <v>6</v>
      </c>
      <c r="H17" s="147">
        <v>75.2</v>
      </c>
      <c r="I17" s="84">
        <v>1.05</v>
      </c>
      <c r="J17" s="171"/>
      <c r="L17" s="81">
        <v>399</v>
      </c>
      <c r="M17" s="81" t="s">
        <v>169</v>
      </c>
      <c r="N17" s="81">
        <v>150</v>
      </c>
      <c r="O17" s="96">
        <v>0.45</v>
      </c>
      <c r="P17" s="96">
        <v>0.15</v>
      </c>
      <c r="Q17" s="96">
        <v>22.8</v>
      </c>
      <c r="R17" s="83">
        <v>94.35</v>
      </c>
      <c r="S17" s="153">
        <v>6</v>
      </c>
      <c r="T17" s="171"/>
      <c r="V17" s="81">
        <v>399</v>
      </c>
      <c r="W17" s="81" t="s">
        <v>169</v>
      </c>
      <c r="X17" s="81">
        <v>150</v>
      </c>
      <c r="Y17" s="156">
        <v>0.45</v>
      </c>
      <c r="Z17" s="156">
        <v>0.15</v>
      </c>
      <c r="AA17" s="156">
        <v>22.8</v>
      </c>
      <c r="AB17" s="157">
        <v>94.35</v>
      </c>
      <c r="AC17" s="153">
        <v>6</v>
      </c>
      <c r="AD17" s="171"/>
      <c r="AG17" s="85" t="s">
        <v>37</v>
      </c>
      <c r="AH17" s="85">
        <v>95</v>
      </c>
      <c r="AI17" s="84">
        <v>0.38</v>
      </c>
      <c r="AJ17" s="84">
        <v>0.38</v>
      </c>
      <c r="AK17" s="84">
        <v>9.31</v>
      </c>
      <c r="AL17" s="84">
        <f t="shared" ref="AL17" si="21">AK17*4+AJ17*9+AI17*4</f>
        <v>42.180000000000007</v>
      </c>
      <c r="AM17" s="84">
        <v>9.5</v>
      </c>
      <c r="AN17" s="171"/>
      <c r="AP17" s="81"/>
      <c r="AQ17" s="81"/>
      <c r="AR17" s="81"/>
      <c r="AS17" s="82"/>
      <c r="AT17" s="82"/>
      <c r="AU17" s="82"/>
      <c r="AV17" s="82"/>
      <c r="AW17" s="82"/>
      <c r="AX17" s="171"/>
      <c r="AZ17" s="81"/>
      <c r="BA17" s="85" t="s">
        <v>37</v>
      </c>
      <c r="BB17" s="85">
        <v>95</v>
      </c>
      <c r="BC17" s="84">
        <v>0.38</v>
      </c>
      <c r="BD17" s="84">
        <v>0.38</v>
      </c>
      <c r="BE17" s="84">
        <v>9.31</v>
      </c>
      <c r="BF17" s="84">
        <f t="shared" ref="BF17" si="22">BE17*4+BD17*9+BC17*4</f>
        <v>42.180000000000007</v>
      </c>
      <c r="BG17" s="84">
        <v>9.5</v>
      </c>
      <c r="BH17" s="171"/>
      <c r="BI17" s="85"/>
      <c r="BJ17" s="81"/>
      <c r="BK17" s="86" t="s">
        <v>201</v>
      </c>
      <c r="BL17" s="86">
        <v>20</v>
      </c>
      <c r="BM17" s="122">
        <v>4.0999999999999996</v>
      </c>
      <c r="BN17" s="122">
        <v>2.2999999999999998</v>
      </c>
      <c r="BO17" s="122">
        <v>13.2</v>
      </c>
      <c r="BP17" s="129">
        <f>BO17*4+BN17*9+BM17*4</f>
        <v>89.9</v>
      </c>
      <c r="BQ17" s="122"/>
      <c r="BR17" s="171"/>
      <c r="BT17" s="81">
        <v>399</v>
      </c>
      <c r="BU17" s="81" t="s">
        <v>169</v>
      </c>
      <c r="BV17" s="81">
        <v>150</v>
      </c>
      <c r="BW17" s="133">
        <v>0.45</v>
      </c>
      <c r="BX17" s="133">
        <v>0.15</v>
      </c>
      <c r="BY17" s="133">
        <v>22.8</v>
      </c>
      <c r="BZ17" s="83">
        <f>BY17*4+BX17*9+BW17*4</f>
        <v>94.35</v>
      </c>
      <c r="CA17" s="82">
        <f>7.2*200/180</f>
        <v>8</v>
      </c>
      <c r="CB17" s="171"/>
      <c r="CD17" s="81">
        <v>399</v>
      </c>
      <c r="CE17" s="81" t="s">
        <v>169</v>
      </c>
      <c r="CF17" s="81">
        <v>150</v>
      </c>
      <c r="CG17" s="133">
        <v>0.45</v>
      </c>
      <c r="CH17" s="133">
        <v>0.15</v>
      </c>
      <c r="CI17" s="133">
        <v>22.8</v>
      </c>
      <c r="CJ17" s="83">
        <f>CI17*4+CH17*9+CG17*4</f>
        <v>94.35</v>
      </c>
      <c r="CK17" s="82">
        <f>7.2*200/180</f>
        <v>8</v>
      </c>
      <c r="CL17" s="171"/>
      <c r="CN17" s="81">
        <v>401</v>
      </c>
      <c r="CO17" s="85" t="s">
        <v>165</v>
      </c>
      <c r="CP17" s="81">
        <v>180</v>
      </c>
      <c r="CQ17" s="84">
        <v>5.22</v>
      </c>
      <c r="CR17" s="84">
        <v>4.5</v>
      </c>
      <c r="CS17" s="84">
        <v>7.56</v>
      </c>
      <c r="CT17" s="84">
        <f t="shared" ref="CT17" si="23">CS17*4+CR17*9+CQ17*4</f>
        <v>91.61999999999999</v>
      </c>
      <c r="CU17" s="84">
        <v>0.54</v>
      </c>
      <c r="CV17" s="171"/>
    </row>
    <row r="18" spans="1:162" x14ac:dyDescent="0.35">
      <c r="J18" s="171"/>
      <c r="Q18" s="92"/>
      <c r="R18" s="92"/>
      <c r="T18" s="171"/>
      <c r="W18" s="148" t="s">
        <v>235</v>
      </c>
      <c r="X18" s="148">
        <v>95</v>
      </c>
      <c r="Y18" s="148">
        <v>0.38</v>
      </c>
      <c r="Z18" s="148">
        <v>0.38</v>
      </c>
      <c r="AA18" s="158">
        <v>9.31</v>
      </c>
      <c r="AB18" s="158">
        <v>42.18</v>
      </c>
      <c r="AC18" s="148">
        <v>9.5</v>
      </c>
      <c r="AD18" s="171"/>
      <c r="AK18" s="92"/>
      <c r="AL18" s="92"/>
      <c r="AN18" s="171"/>
      <c r="AU18" s="92"/>
      <c r="AV18" s="92"/>
      <c r="AX18" s="171"/>
      <c r="BH18" s="171"/>
      <c r="BR18" s="171"/>
      <c r="BV18" s="131"/>
      <c r="BW18" s="136"/>
      <c r="BX18" s="136"/>
      <c r="BY18" s="136"/>
      <c r="BZ18" s="132"/>
      <c r="CB18" s="171"/>
      <c r="CL18" s="171"/>
      <c r="CS18" s="92"/>
      <c r="CT18" s="92"/>
      <c r="CV18" s="171"/>
    </row>
    <row r="19" spans="1:162" x14ac:dyDescent="0.35">
      <c r="A19" s="94" t="s">
        <v>32</v>
      </c>
      <c r="B19" s="94"/>
      <c r="C19" s="94"/>
      <c r="D19" s="94"/>
      <c r="E19" s="94">
        <f>SUM(E16:E17)</f>
        <v>8.4499999999999993</v>
      </c>
      <c r="F19" s="94">
        <f>SUM(F16:F17)</f>
        <v>6.05</v>
      </c>
      <c r="G19" s="95">
        <f>SUM(G16:G17)</f>
        <v>19.2</v>
      </c>
      <c r="H19" s="95">
        <f>SUM(H16:H17)</f>
        <v>169.2</v>
      </c>
      <c r="I19" s="94">
        <f>SUM(I16:I17)</f>
        <v>1.05</v>
      </c>
      <c r="J19" s="171"/>
      <c r="K19" s="94" t="s">
        <v>32</v>
      </c>
      <c r="L19" s="94"/>
      <c r="M19" s="94"/>
      <c r="N19" s="94"/>
      <c r="O19" s="94">
        <f>SUM(O16:O17)</f>
        <v>4.55</v>
      </c>
      <c r="P19" s="94">
        <f>SUM(P16:P17)</f>
        <v>2.4499999999999997</v>
      </c>
      <c r="Q19" s="95">
        <f>SUM(Q16:Q17)</f>
        <v>36</v>
      </c>
      <c r="R19" s="95">
        <f>SUM(R16:R17)</f>
        <v>188.35</v>
      </c>
      <c r="S19" s="94">
        <f>SUM(S16:S17)</f>
        <v>6</v>
      </c>
      <c r="T19" s="171"/>
      <c r="U19" s="94" t="s">
        <v>32</v>
      </c>
      <c r="V19" s="94"/>
      <c r="W19" s="94"/>
      <c r="X19" s="94"/>
      <c r="Y19" s="94">
        <f>SUM(Y16:Y17)</f>
        <v>0.45</v>
      </c>
      <c r="Z19" s="94">
        <f>SUM(Z16:Z17)</f>
        <v>0.15</v>
      </c>
      <c r="AA19" s="95">
        <f>SUM(AA16:AA17)</f>
        <v>22.8</v>
      </c>
      <c r="AB19" s="95">
        <f>SUM(AB16:AB17)</f>
        <v>94.35</v>
      </c>
      <c r="AC19" s="94">
        <f>SUM(AC16:AC17)</f>
        <v>6</v>
      </c>
      <c r="AD19" s="171"/>
      <c r="AE19" s="94" t="s">
        <v>32</v>
      </c>
      <c r="AF19" s="94"/>
      <c r="AG19" s="94"/>
      <c r="AH19" s="94"/>
      <c r="AI19" s="97">
        <f>SUM(AI16:AI18)</f>
        <v>0.38</v>
      </c>
      <c r="AJ19" s="94">
        <f>SUM(AJ16:AJ18)</f>
        <v>0.38</v>
      </c>
      <c r="AK19" s="95">
        <f>SUM(AK16:AK18)</f>
        <v>9.31</v>
      </c>
      <c r="AL19" s="95">
        <f>SUM(AL16:AL18)</f>
        <v>42.180000000000007</v>
      </c>
      <c r="AM19" s="94">
        <f>SUM(AM16:AM17)</f>
        <v>9.5</v>
      </c>
      <c r="AN19" s="171"/>
      <c r="AO19" s="94" t="s">
        <v>32</v>
      </c>
      <c r="AP19" s="94"/>
      <c r="AQ19" s="94"/>
      <c r="AR19" s="94"/>
      <c r="AS19" s="97">
        <f>SUM(AS16:AS18)</f>
        <v>0.38</v>
      </c>
      <c r="AT19" s="94">
        <f>SUM(AT16:AT18)</f>
        <v>0.38</v>
      </c>
      <c r="AU19" s="95">
        <f>SUM(AU16:AU18)</f>
        <v>9.31</v>
      </c>
      <c r="AV19" s="95">
        <f>SUM(AV16:AV18)</f>
        <v>42.180000000000007</v>
      </c>
      <c r="AW19" s="94">
        <f>SUM(AW16:AW17)</f>
        <v>9.5</v>
      </c>
      <c r="AX19" s="171"/>
      <c r="AY19" s="94" t="s">
        <v>32</v>
      </c>
      <c r="AZ19" s="94"/>
      <c r="BA19" s="94"/>
      <c r="BB19" s="94"/>
      <c r="BC19" s="97">
        <f>SUM(BC16:BC17)</f>
        <v>0.98</v>
      </c>
      <c r="BD19" s="94">
        <f>SUM(BD16:BD17)</f>
        <v>0.58000000000000007</v>
      </c>
      <c r="BE19" s="95">
        <f>SUM(BE16:BE17)</f>
        <v>39.71</v>
      </c>
      <c r="BF19" s="95">
        <f>SUM(BF16:BF17)</f>
        <v>167.98000000000002</v>
      </c>
      <c r="BG19" s="94"/>
      <c r="BH19" s="171"/>
      <c r="BI19" s="94" t="s">
        <v>32</v>
      </c>
      <c r="BJ19" s="94"/>
      <c r="BK19" s="94"/>
      <c r="BL19" s="94"/>
      <c r="BM19" s="97">
        <f>SUM(BM16:BM17)</f>
        <v>4.55</v>
      </c>
      <c r="BN19" s="94">
        <f>SUM(BN16:BN17)</f>
        <v>2.4499999999999997</v>
      </c>
      <c r="BO19" s="95">
        <f>SUM(BO16:BO17)</f>
        <v>36</v>
      </c>
      <c r="BP19" s="95">
        <f>SUM(BP16:BP17)</f>
        <v>184.25</v>
      </c>
      <c r="BQ19" s="94">
        <f>SUM(BQ14:BQ17)</f>
        <v>8</v>
      </c>
      <c r="BR19" s="171"/>
      <c r="BS19" s="94" t="s">
        <v>32</v>
      </c>
      <c r="BT19" s="94"/>
      <c r="BU19" s="94"/>
      <c r="BV19" s="94"/>
      <c r="BW19" s="134">
        <f>SUM(BW16:BW17)</f>
        <v>0.83000000000000007</v>
      </c>
      <c r="BX19" s="134">
        <f>SUM(BX16:BX17)</f>
        <v>0.53</v>
      </c>
      <c r="BY19" s="135">
        <f>SUM(BY16:BY17)</f>
        <v>32.11</v>
      </c>
      <c r="BZ19" s="95">
        <f>SUM(BZ16:BZ17)</f>
        <v>136.53</v>
      </c>
      <c r="CA19" s="94">
        <f>SUM(CA16:CA17)</f>
        <v>17.5</v>
      </c>
      <c r="CB19" s="171"/>
      <c r="CC19" s="94" t="s">
        <v>32</v>
      </c>
      <c r="CD19" s="94"/>
      <c r="CE19" s="94"/>
      <c r="CF19" s="94"/>
      <c r="CG19" s="94">
        <f>SUM(CG16:CG17)</f>
        <v>0.83000000000000007</v>
      </c>
      <c r="CH19" s="94">
        <f>SUM(CH16:CH17)</f>
        <v>0.53</v>
      </c>
      <c r="CI19" s="95">
        <f>SUM(CI16:CI17)</f>
        <v>32.11</v>
      </c>
      <c r="CJ19" s="95">
        <f>SUM(CJ16:CJ17)</f>
        <v>136.53</v>
      </c>
      <c r="CK19" s="94">
        <f>SUM(CK16:CK17)</f>
        <v>17.5</v>
      </c>
      <c r="CL19" s="171"/>
      <c r="CM19" s="94" t="s">
        <v>32</v>
      </c>
      <c r="CN19" s="94"/>
      <c r="CO19" s="94"/>
      <c r="CP19" s="94"/>
      <c r="CQ19" s="94">
        <f>SUM(CQ16:CQ17)</f>
        <v>5.22</v>
      </c>
      <c r="CR19" s="94">
        <f>SUM(CR16:CR17)</f>
        <v>4.5</v>
      </c>
      <c r="CS19" s="95">
        <f>SUM(CS16:CS17)</f>
        <v>7.56</v>
      </c>
      <c r="CT19" s="95">
        <f>SUM(CT16:CT17)</f>
        <v>91.61999999999999</v>
      </c>
      <c r="CU19" s="94">
        <f>SUM(CU16:CU17)</f>
        <v>0.54</v>
      </c>
      <c r="CV19" s="171"/>
    </row>
    <row r="20" spans="1:162" x14ac:dyDescent="0.35">
      <c r="A20" s="94" t="s">
        <v>30</v>
      </c>
      <c r="B20" s="94"/>
      <c r="C20" s="94"/>
      <c r="D20" s="94"/>
      <c r="E20" s="95">
        <v>2.1</v>
      </c>
      <c r="F20" s="95">
        <v>2.35</v>
      </c>
      <c r="G20" s="95">
        <v>10.15</v>
      </c>
      <c r="H20" s="95">
        <v>70</v>
      </c>
      <c r="I20" s="94"/>
      <c r="J20" s="171"/>
      <c r="K20" s="94" t="s">
        <v>30</v>
      </c>
      <c r="L20" s="94"/>
      <c r="M20" s="94"/>
      <c r="N20" s="94"/>
      <c r="O20" s="95">
        <v>2.1</v>
      </c>
      <c r="P20" s="95">
        <v>2.35</v>
      </c>
      <c r="Q20" s="95">
        <v>10.15</v>
      </c>
      <c r="R20" s="95">
        <v>70</v>
      </c>
      <c r="S20" s="94"/>
      <c r="T20" s="171"/>
      <c r="U20" s="94" t="s">
        <v>30</v>
      </c>
      <c r="V20" s="94"/>
      <c r="W20" s="94"/>
      <c r="X20" s="94"/>
      <c r="Y20" s="95">
        <v>2.1</v>
      </c>
      <c r="Z20" s="95">
        <v>2.35</v>
      </c>
      <c r="AA20" s="95">
        <v>10.15</v>
      </c>
      <c r="AB20" s="95">
        <v>70</v>
      </c>
      <c r="AC20" s="94"/>
      <c r="AD20" s="171"/>
      <c r="AE20" s="94" t="s">
        <v>30</v>
      </c>
      <c r="AF20" s="94"/>
      <c r="AG20" s="94"/>
      <c r="AH20" s="94"/>
      <c r="AI20" s="95">
        <v>2.1</v>
      </c>
      <c r="AJ20" s="95">
        <v>2.35</v>
      </c>
      <c r="AK20" s="95">
        <v>10.15</v>
      </c>
      <c r="AL20" s="95">
        <v>70</v>
      </c>
      <c r="AM20" s="94"/>
      <c r="AN20" s="171"/>
      <c r="AO20" s="94" t="s">
        <v>30</v>
      </c>
      <c r="AP20" s="94"/>
      <c r="AQ20" s="94"/>
      <c r="AR20" s="94"/>
      <c r="AS20" s="95">
        <v>2.1</v>
      </c>
      <c r="AT20" s="95">
        <v>2.35</v>
      </c>
      <c r="AU20" s="95">
        <v>10.15</v>
      </c>
      <c r="AV20" s="95">
        <v>70</v>
      </c>
      <c r="AW20" s="94"/>
      <c r="AX20" s="171"/>
      <c r="AY20" s="94" t="s">
        <v>30</v>
      </c>
      <c r="AZ20" s="94"/>
      <c r="BA20" s="94"/>
      <c r="BB20" s="94"/>
      <c r="BC20" s="95">
        <v>2.1</v>
      </c>
      <c r="BD20" s="95">
        <v>2.35</v>
      </c>
      <c r="BE20" s="95">
        <v>10.15</v>
      </c>
      <c r="BF20" s="95">
        <v>70</v>
      </c>
      <c r="BG20" s="94"/>
      <c r="BH20" s="171"/>
      <c r="BI20" s="94" t="s">
        <v>30</v>
      </c>
      <c r="BJ20" s="94"/>
      <c r="BK20" s="94"/>
      <c r="BL20" s="94"/>
      <c r="BM20" s="95">
        <v>2.1</v>
      </c>
      <c r="BN20" s="95">
        <v>2.35</v>
      </c>
      <c r="BO20" s="95">
        <v>10.15</v>
      </c>
      <c r="BP20" s="95">
        <v>70</v>
      </c>
      <c r="BQ20" s="94"/>
      <c r="BR20" s="171"/>
      <c r="BS20" s="94" t="s">
        <v>30</v>
      </c>
      <c r="BT20" s="94"/>
      <c r="BU20" s="94"/>
      <c r="BV20" s="94"/>
      <c r="BW20" s="95">
        <v>2.1</v>
      </c>
      <c r="BX20" s="95">
        <v>2.35</v>
      </c>
      <c r="BY20" s="95">
        <v>10.15</v>
      </c>
      <c r="BZ20" s="95">
        <v>70</v>
      </c>
      <c r="CA20" s="94"/>
      <c r="CB20" s="171"/>
      <c r="CC20" s="94" t="s">
        <v>30</v>
      </c>
      <c r="CD20" s="94"/>
      <c r="CE20" s="94"/>
      <c r="CF20" s="94"/>
      <c r="CG20" s="95">
        <v>2.1</v>
      </c>
      <c r="CH20" s="95">
        <v>2.35</v>
      </c>
      <c r="CI20" s="95">
        <v>10.15</v>
      </c>
      <c r="CJ20" s="95">
        <v>70</v>
      </c>
      <c r="CK20" s="94"/>
      <c r="CL20" s="171"/>
      <c r="CM20" s="94" t="s">
        <v>30</v>
      </c>
      <c r="CN20" s="94"/>
      <c r="CO20" s="94"/>
      <c r="CP20" s="94"/>
      <c r="CQ20" s="95">
        <v>2.1</v>
      </c>
      <c r="CR20" s="95">
        <v>2.35</v>
      </c>
      <c r="CS20" s="95">
        <v>10.15</v>
      </c>
      <c r="CT20" s="95">
        <v>70</v>
      </c>
      <c r="CU20" s="94"/>
      <c r="CV20" s="171"/>
    </row>
    <row r="21" spans="1:162" x14ac:dyDescent="0.35">
      <c r="A21" s="85"/>
      <c r="B21" s="85"/>
      <c r="C21" s="85"/>
      <c r="D21" s="85"/>
      <c r="E21" s="85"/>
      <c r="F21" s="85"/>
      <c r="G21" s="98"/>
      <c r="H21" s="98"/>
      <c r="J21" s="171"/>
      <c r="K21" s="85"/>
      <c r="L21" s="85"/>
      <c r="M21" s="85"/>
      <c r="N21" s="85"/>
      <c r="O21" s="85"/>
      <c r="P21" s="85"/>
      <c r="Q21" s="98"/>
      <c r="R21" s="98"/>
      <c r="T21" s="171"/>
      <c r="U21" s="85"/>
      <c r="V21" s="85"/>
      <c r="W21" s="85"/>
      <c r="X21" s="85"/>
      <c r="Y21" s="85"/>
      <c r="Z21" s="85"/>
      <c r="AA21" s="98"/>
      <c r="AB21" s="98"/>
      <c r="AD21" s="171"/>
      <c r="AE21" s="85"/>
      <c r="AF21" s="85"/>
      <c r="AG21" s="85"/>
      <c r="AH21" s="85"/>
      <c r="AI21" s="85"/>
      <c r="AJ21" s="85"/>
      <c r="AK21" s="98"/>
      <c r="AL21" s="98"/>
      <c r="AN21" s="171"/>
      <c r="AO21" s="85"/>
      <c r="AP21" s="85"/>
      <c r="AQ21" s="85"/>
      <c r="AR21" s="85"/>
      <c r="AS21" s="85"/>
      <c r="AT21" s="85"/>
      <c r="AU21" s="98"/>
      <c r="AV21" s="98"/>
      <c r="AX21" s="171"/>
      <c r="AY21" s="85"/>
      <c r="AZ21" s="85"/>
      <c r="BA21" s="85"/>
      <c r="BB21" s="85"/>
      <c r="BC21" s="85"/>
      <c r="BD21" s="85"/>
      <c r="BE21" s="98"/>
      <c r="BF21" s="98"/>
      <c r="BH21" s="171"/>
      <c r="BI21" s="85"/>
      <c r="BJ21" s="85"/>
      <c r="BK21" s="85"/>
      <c r="BL21" s="85"/>
      <c r="BM21" s="85"/>
      <c r="BN21" s="85"/>
      <c r="BO21" s="98"/>
      <c r="BP21" s="98"/>
      <c r="BR21" s="171"/>
      <c r="BS21" s="85"/>
      <c r="BT21" s="85"/>
      <c r="BU21" s="85"/>
      <c r="BV21" s="85"/>
      <c r="BW21" s="85"/>
      <c r="BX21" s="85"/>
      <c r="BY21" s="98"/>
      <c r="BZ21" s="98"/>
      <c r="CB21" s="171"/>
      <c r="CC21" s="85"/>
      <c r="CD21" s="85"/>
      <c r="CE21" s="85"/>
      <c r="CF21" s="85"/>
      <c r="CG21" s="85"/>
      <c r="CH21" s="85"/>
      <c r="CI21" s="98"/>
      <c r="CJ21" s="98"/>
      <c r="CL21" s="171"/>
      <c r="CM21" s="85"/>
      <c r="CN21" s="85"/>
      <c r="CO21" s="85"/>
      <c r="CP21" s="85"/>
      <c r="CQ21" s="85"/>
      <c r="CR21" s="85"/>
      <c r="CS21" s="98"/>
      <c r="CT21" s="98"/>
      <c r="CV21" s="171"/>
    </row>
    <row r="22" spans="1:162" s="80" customFormat="1" x14ac:dyDescent="0.35">
      <c r="A22" s="173" t="s">
        <v>18</v>
      </c>
      <c r="B22" s="174"/>
      <c r="C22" s="174"/>
      <c r="D22" s="174"/>
      <c r="E22" s="174"/>
      <c r="F22" s="174"/>
      <c r="G22" s="174"/>
      <c r="H22" s="174"/>
      <c r="I22" s="175"/>
      <c r="J22" s="171"/>
      <c r="K22" s="173" t="s">
        <v>18</v>
      </c>
      <c r="L22" s="174"/>
      <c r="M22" s="174"/>
      <c r="N22" s="174"/>
      <c r="O22" s="174"/>
      <c r="P22" s="174"/>
      <c r="Q22" s="174"/>
      <c r="R22" s="174"/>
      <c r="S22" s="175"/>
      <c r="T22" s="171"/>
      <c r="U22" s="173" t="s">
        <v>18</v>
      </c>
      <c r="V22" s="174"/>
      <c r="W22" s="174"/>
      <c r="X22" s="174"/>
      <c r="Y22" s="174"/>
      <c r="Z22" s="174"/>
      <c r="AA22" s="174"/>
      <c r="AB22" s="174"/>
      <c r="AC22" s="175"/>
      <c r="AD22" s="171"/>
      <c r="AE22" s="173" t="s">
        <v>18</v>
      </c>
      <c r="AF22" s="174"/>
      <c r="AG22" s="174"/>
      <c r="AH22" s="174"/>
      <c r="AI22" s="174"/>
      <c r="AJ22" s="174"/>
      <c r="AK22" s="174"/>
      <c r="AL22" s="174"/>
      <c r="AM22" s="175"/>
      <c r="AN22" s="171"/>
      <c r="AO22" s="173" t="s">
        <v>18</v>
      </c>
      <c r="AP22" s="174"/>
      <c r="AQ22" s="174"/>
      <c r="AR22" s="174"/>
      <c r="AS22" s="174"/>
      <c r="AT22" s="174"/>
      <c r="AU22" s="174"/>
      <c r="AV22" s="174"/>
      <c r="AW22" s="175"/>
      <c r="AX22" s="171"/>
      <c r="AY22" s="173" t="s">
        <v>18</v>
      </c>
      <c r="AZ22" s="174"/>
      <c r="BA22" s="174"/>
      <c r="BB22" s="174"/>
      <c r="BC22" s="174"/>
      <c r="BD22" s="174"/>
      <c r="BE22" s="174"/>
      <c r="BF22" s="174"/>
      <c r="BG22" s="175"/>
      <c r="BH22" s="171"/>
      <c r="BI22" s="173" t="s">
        <v>18</v>
      </c>
      <c r="BJ22" s="174"/>
      <c r="BK22" s="174"/>
      <c r="BL22" s="174"/>
      <c r="BM22" s="174"/>
      <c r="BN22" s="174"/>
      <c r="BO22" s="174"/>
      <c r="BP22" s="174"/>
      <c r="BQ22" s="175"/>
      <c r="BR22" s="171"/>
      <c r="BS22" s="173" t="s">
        <v>18</v>
      </c>
      <c r="BT22" s="174"/>
      <c r="BU22" s="174"/>
      <c r="BV22" s="174"/>
      <c r="BW22" s="176"/>
      <c r="BX22" s="176"/>
      <c r="BY22" s="176"/>
      <c r="BZ22" s="174"/>
      <c r="CA22" s="175"/>
      <c r="CB22" s="171"/>
      <c r="CC22" s="173" t="s">
        <v>18</v>
      </c>
      <c r="CD22" s="174"/>
      <c r="CE22" s="174"/>
      <c r="CF22" s="174"/>
      <c r="CG22" s="174"/>
      <c r="CH22" s="174"/>
      <c r="CI22" s="174"/>
      <c r="CJ22" s="174"/>
      <c r="CK22" s="175"/>
      <c r="CL22" s="171"/>
      <c r="CM22" s="173" t="s">
        <v>18</v>
      </c>
      <c r="CN22" s="174"/>
      <c r="CO22" s="174"/>
      <c r="CP22" s="174"/>
      <c r="CQ22" s="174"/>
      <c r="CR22" s="174"/>
      <c r="CS22" s="174"/>
      <c r="CT22" s="174"/>
      <c r="CU22" s="175"/>
      <c r="CV22" s="171"/>
      <c r="CW22" s="100"/>
      <c r="CX22" s="100"/>
      <c r="CY22" s="100"/>
      <c r="CZ22" s="100"/>
      <c r="DA22" s="100"/>
      <c r="DB22" s="100"/>
      <c r="DC22" s="100"/>
      <c r="DD22" s="100"/>
      <c r="DE22" s="100"/>
      <c r="DF22" s="100"/>
      <c r="DG22" s="100"/>
      <c r="DH22" s="100"/>
      <c r="DI22" s="100"/>
      <c r="DJ22" s="100"/>
      <c r="DK22" s="100"/>
      <c r="DL22" s="100"/>
      <c r="DM22" s="100"/>
      <c r="DN22" s="100"/>
      <c r="DO22" s="100"/>
      <c r="DP22" s="100"/>
      <c r="DQ22" s="100"/>
      <c r="DR22" s="100"/>
      <c r="DS22" s="100"/>
      <c r="DT22" s="100"/>
      <c r="DU22" s="100"/>
      <c r="DV22" s="100"/>
      <c r="DW22" s="100"/>
      <c r="DX22" s="100"/>
      <c r="DY22" s="100"/>
      <c r="DZ22" s="100"/>
      <c r="EA22" s="100"/>
      <c r="EB22" s="100"/>
      <c r="EC22" s="100"/>
      <c r="ED22" s="100"/>
      <c r="EE22" s="100"/>
      <c r="EF22" s="100"/>
      <c r="EG22" s="100"/>
      <c r="EH22" s="100"/>
      <c r="EI22" s="100"/>
      <c r="EJ22" s="100"/>
      <c r="EK22" s="100"/>
      <c r="EL22" s="100"/>
      <c r="EM22" s="100"/>
      <c r="EN22" s="100"/>
      <c r="EO22" s="100"/>
      <c r="EP22" s="100"/>
      <c r="EQ22" s="100"/>
      <c r="ER22" s="100"/>
      <c r="ES22" s="100"/>
      <c r="ET22" s="100"/>
      <c r="EU22" s="100"/>
      <c r="EV22" s="100"/>
      <c r="EW22" s="100"/>
      <c r="EX22" s="100"/>
      <c r="EY22" s="100"/>
      <c r="EZ22" s="100"/>
      <c r="FA22" s="100"/>
      <c r="FB22" s="100"/>
      <c r="FC22" s="100"/>
      <c r="FD22" s="100"/>
      <c r="FE22" s="100"/>
      <c r="FF22" s="100"/>
    </row>
    <row r="23" spans="1:162" x14ac:dyDescent="0.35">
      <c r="B23" s="81"/>
      <c r="C23" s="81" t="s">
        <v>202</v>
      </c>
      <c r="D23" s="81">
        <v>40</v>
      </c>
      <c r="E23" s="84">
        <v>0.33</v>
      </c>
      <c r="F23" s="84">
        <v>1.55</v>
      </c>
      <c r="G23" s="84">
        <v>3.43</v>
      </c>
      <c r="H23" s="147">
        <v>29</v>
      </c>
      <c r="I23" s="84">
        <f>0.2/4</f>
        <v>0.05</v>
      </c>
      <c r="J23" s="171"/>
      <c r="L23" s="85">
        <v>33</v>
      </c>
      <c r="M23" s="85" t="s">
        <v>136</v>
      </c>
      <c r="N23" s="85">
        <v>40</v>
      </c>
      <c r="O23" s="84">
        <f>14.25*40/1000</f>
        <v>0.56999999999999995</v>
      </c>
      <c r="P23" s="84">
        <f>60.89*40/1000</f>
        <v>2.4356</v>
      </c>
      <c r="Q23" s="84">
        <f>83.6*40/1000</f>
        <v>3.3439999999999999</v>
      </c>
      <c r="R23" s="84">
        <f>Q23*4+P23*9+O23*4</f>
        <v>37.5764</v>
      </c>
      <c r="S23" s="84">
        <f>95*40/1000</f>
        <v>3.8</v>
      </c>
      <c r="T23" s="171"/>
      <c r="V23" s="85">
        <v>41</v>
      </c>
      <c r="W23" s="85" t="s">
        <v>137</v>
      </c>
      <c r="X23" s="85">
        <v>40</v>
      </c>
      <c r="Y23" s="84">
        <f>8.61*40/1000</f>
        <v>0.34439999999999998</v>
      </c>
      <c r="Z23" s="84">
        <f>52.2*40/1000</f>
        <v>2.0880000000000001</v>
      </c>
      <c r="AA23" s="84">
        <f>78.71*40/1000</f>
        <v>3.1483999999999996</v>
      </c>
      <c r="AB23" s="84">
        <f>AA23*4+Z23*9+Y23*4</f>
        <v>32.763199999999998</v>
      </c>
      <c r="AC23" s="84">
        <f>69.5*40/1000</f>
        <v>2.78</v>
      </c>
      <c r="AD23" s="171"/>
      <c r="AF23" s="81">
        <v>80</v>
      </c>
      <c r="AG23" s="81" t="s">
        <v>97</v>
      </c>
      <c r="AH23" s="81">
        <v>180</v>
      </c>
      <c r="AI23" s="137">
        <v>2.6</v>
      </c>
      <c r="AJ23" s="137">
        <v>2.79</v>
      </c>
      <c r="AK23" s="137">
        <v>17</v>
      </c>
      <c r="AL23" s="84">
        <v>103.52</v>
      </c>
      <c r="AM23" s="84">
        <v>8.25</v>
      </c>
      <c r="AN23" s="171"/>
      <c r="AP23" s="85">
        <v>57</v>
      </c>
      <c r="AQ23" s="85" t="s">
        <v>184</v>
      </c>
      <c r="AR23" s="104">
        <v>180</v>
      </c>
      <c r="AS23" s="84">
        <v>1.73</v>
      </c>
      <c r="AT23" s="84">
        <v>4.91</v>
      </c>
      <c r="AU23" s="84">
        <v>12.21</v>
      </c>
      <c r="AV23" s="84">
        <f t="shared" ref="AV23:AV26" si="24">AU23*4+AT23*9+AS23*4</f>
        <v>99.95</v>
      </c>
      <c r="AW23" s="84">
        <v>8.0399999999999991</v>
      </c>
      <c r="AX23" s="171"/>
      <c r="AZ23" s="81"/>
      <c r="BA23" s="81" t="s">
        <v>228</v>
      </c>
      <c r="BB23" s="81">
        <v>40</v>
      </c>
      <c r="BC23" s="84">
        <v>0.26</v>
      </c>
      <c r="BD23" s="84">
        <v>1.24</v>
      </c>
      <c r="BE23" s="84">
        <v>2.7</v>
      </c>
      <c r="BF23" s="147">
        <v>23.2</v>
      </c>
      <c r="BG23" s="84">
        <v>2.23</v>
      </c>
      <c r="BH23" s="171"/>
      <c r="BJ23" s="81"/>
      <c r="BK23" s="81" t="s">
        <v>202</v>
      </c>
      <c r="BL23" s="81">
        <v>30</v>
      </c>
      <c r="BM23" s="84">
        <v>0.25</v>
      </c>
      <c r="BN23" s="84">
        <v>1.17</v>
      </c>
      <c r="BO23" s="84">
        <v>2.58</v>
      </c>
      <c r="BP23" s="84">
        <f>BO23*4+BN23*9+BM23*4</f>
        <v>21.85</v>
      </c>
      <c r="BQ23" s="84">
        <f>0.2/4</f>
        <v>0.05</v>
      </c>
      <c r="BR23" s="171"/>
      <c r="BU23" s="86" t="s">
        <v>174</v>
      </c>
      <c r="BV23" s="131">
        <v>40</v>
      </c>
      <c r="BW23" s="159">
        <v>0.67</v>
      </c>
      <c r="BX23" s="160">
        <v>3.1</v>
      </c>
      <c r="BY23" s="160">
        <v>6.86</v>
      </c>
      <c r="BZ23" s="147">
        <v>58</v>
      </c>
      <c r="CA23" s="122"/>
      <c r="CB23" s="171"/>
      <c r="CD23" s="85">
        <v>59</v>
      </c>
      <c r="CE23" s="85" t="s">
        <v>129</v>
      </c>
      <c r="CF23" s="85">
        <v>180</v>
      </c>
      <c r="CG23" s="84">
        <f>10.94*180/1000</f>
        <v>1.9691999999999998</v>
      </c>
      <c r="CH23" s="84">
        <f>23.79*180/1000</f>
        <v>4.2821999999999996</v>
      </c>
      <c r="CI23" s="84">
        <f>54.71*180/1000</f>
        <v>9.8477999999999994</v>
      </c>
      <c r="CJ23" s="84">
        <f>CI23*4+CH23*9+CG23*4</f>
        <v>85.8078</v>
      </c>
      <c r="CK23" s="84">
        <f>71.12*180/1000</f>
        <v>12.801600000000001</v>
      </c>
      <c r="CL23" s="171"/>
      <c r="CN23" s="81"/>
      <c r="CO23" s="81"/>
      <c r="CP23" s="81"/>
      <c r="CQ23" s="84"/>
      <c r="CR23" s="84"/>
      <c r="CS23" s="84"/>
      <c r="CT23" s="84"/>
      <c r="CU23" s="84"/>
      <c r="CV23" s="171"/>
    </row>
    <row r="24" spans="1:162" x14ac:dyDescent="0.35">
      <c r="B24" s="81">
        <v>80</v>
      </c>
      <c r="C24" s="81" t="s">
        <v>97</v>
      </c>
      <c r="D24" s="81">
        <v>180</v>
      </c>
      <c r="E24" s="137">
        <v>2.6</v>
      </c>
      <c r="F24" s="137">
        <v>2.79</v>
      </c>
      <c r="G24" s="137">
        <v>17</v>
      </c>
      <c r="H24" s="84">
        <v>103.52</v>
      </c>
      <c r="I24" s="84">
        <v>8.25</v>
      </c>
      <c r="J24" s="171"/>
      <c r="L24" s="85">
        <v>74</v>
      </c>
      <c r="M24" s="85" t="s">
        <v>147</v>
      </c>
      <c r="N24" s="85">
        <v>180</v>
      </c>
      <c r="O24" s="84">
        <f>11.18*180/1000</f>
        <v>2.0124</v>
      </c>
      <c r="P24" s="84">
        <f>13.14*180/1000</f>
        <v>2.3652000000000002</v>
      </c>
      <c r="Q24" s="84">
        <f>61.22*180/1000</f>
        <v>11.019600000000001</v>
      </c>
      <c r="R24" s="84">
        <f t="shared" ref="R24:R28" si="25">Q24*4+P24*9+O24*4</f>
        <v>73.4148</v>
      </c>
      <c r="S24" s="84">
        <f>27.48*180/1000</f>
        <v>4.9463999999999997</v>
      </c>
      <c r="T24" s="171"/>
      <c r="V24" s="85">
        <v>71</v>
      </c>
      <c r="W24" s="85" t="s">
        <v>96</v>
      </c>
      <c r="X24" s="85">
        <v>180</v>
      </c>
      <c r="Y24" s="84">
        <f>6.48*180/1000</f>
        <v>1.1664000000000001</v>
      </c>
      <c r="Z24" s="84">
        <f>19.46*180/1000</f>
        <v>3.5028000000000001</v>
      </c>
      <c r="AA24" s="84">
        <f>26.95*180/1000</f>
        <v>4.851</v>
      </c>
      <c r="AB24" s="84">
        <f t="shared" ref="AB24:AB28" si="26">AA24*4+Z24*9+Y24*4</f>
        <v>55.594799999999999</v>
      </c>
      <c r="AC24" s="84">
        <f>53.16*180/1000</f>
        <v>9.5687999999999995</v>
      </c>
      <c r="AD24" s="171"/>
      <c r="AF24" s="81"/>
      <c r="AG24" s="81" t="s">
        <v>111</v>
      </c>
      <c r="AH24" s="81">
        <v>60</v>
      </c>
      <c r="AI24" s="84">
        <v>9.33</v>
      </c>
      <c r="AJ24" s="84">
        <v>8.5</v>
      </c>
      <c r="AK24" s="84">
        <v>12.5</v>
      </c>
      <c r="AL24" s="147">
        <v>164.3</v>
      </c>
      <c r="AM24" s="84"/>
      <c r="AN24" s="171"/>
      <c r="AP24" s="85">
        <v>282</v>
      </c>
      <c r="AQ24" s="85" t="s">
        <v>101</v>
      </c>
      <c r="AR24" s="91">
        <v>60</v>
      </c>
      <c r="AS24" s="84">
        <v>8.93</v>
      </c>
      <c r="AT24" s="84">
        <v>6.74</v>
      </c>
      <c r="AU24" s="84">
        <v>8.9700000000000006</v>
      </c>
      <c r="AV24" s="84">
        <f t="shared" si="24"/>
        <v>132.26</v>
      </c>
      <c r="AW24" s="84"/>
      <c r="AX24" s="171"/>
      <c r="AZ24" s="81">
        <v>80</v>
      </c>
      <c r="BA24" s="81" t="s">
        <v>205</v>
      </c>
      <c r="BB24" s="81">
        <v>160</v>
      </c>
      <c r="BC24" s="152">
        <v>3.5139999999999998</v>
      </c>
      <c r="BD24" s="152">
        <v>3.37</v>
      </c>
      <c r="BE24" s="152">
        <v>10.45</v>
      </c>
      <c r="BF24" s="152">
        <v>86.2</v>
      </c>
      <c r="BG24" s="152">
        <v>3.72</v>
      </c>
      <c r="BH24" s="171"/>
      <c r="BJ24" s="87">
        <v>84</v>
      </c>
      <c r="BK24" s="81" t="s">
        <v>150</v>
      </c>
      <c r="BL24" s="87">
        <v>180</v>
      </c>
      <c r="BM24" s="84">
        <v>9.82</v>
      </c>
      <c r="BN24" s="84">
        <v>3.89</v>
      </c>
      <c r="BO24" s="84">
        <v>13.82</v>
      </c>
      <c r="BP24" s="84">
        <f>BO24*4+BN24*9+BM24*4</f>
        <v>129.57</v>
      </c>
      <c r="BQ24" s="84">
        <f>36.45*180/1000</f>
        <v>6.5610000000000008</v>
      </c>
      <c r="BR24" s="171"/>
      <c r="BT24" s="81">
        <v>80</v>
      </c>
      <c r="BU24" s="81" t="s">
        <v>97</v>
      </c>
      <c r="BV24" s="81">
        <v>180</v>
      </c>
      <c r="BW24" s="137">
        <v>2.6</v>
      </c>
      <c r="BX24" s="137">
        <v>2.79</v>
      </c>
      <c r="BY24" s="137">
        <v>17</v>
      </c>
      <c r="BZ24" s="84">
        <v>103.52</v>
      </c>
      <c r="CA24" s="84">
        <v>8.25</v>
      </c>
      <c r="CB24" s="171"/>
      <c r="CD24" s="81">
        <v>306</v>
      </c>
      <c r="CE24" s="81" t="s">
        <v>99</v>
      </c>
      <c r="CF24" s="81">
        <v>60</v>
      </c>
      <c r="CG24" s="84">
        <v>8.4499999999999993</v>
      </c>
      <c r="CH24" s="84">
        <v>8.8800000000000008</v>
      </c>
      <c r="CI24" s="84">
        <v>5.3</v>
      </c>
      <c r="CJ24" s="84">
        <f t="shared" ref="CJ24:CJ28" si="27">CI24*4+CH24*9+CG24*4</f>
        <v>134.92000000000002</v>
      </c>
      <c r="CK24" s="84">
        <v>0.24</v>
      </c>
      <c r="CL24" s="171"/>
      <c r="CN24" s="85">
        <v>85</v>
      </c>
      <c r="CO24" s="85" t="s">
        <v>145</v>
      </c>
      <c r="CP24" s="85">
        <v>180</v>
      </c>
      <c r="CQ24" s="84">
        <f>8.24*180/1000</f>
        <v>1.4832000000000001</v>
      </c>
      <c r="CR24" s="84">
        <f>12.4*180/1000</f>
        <v>2.2320000000000002</v>
      </c>
      <c r="CS24" s="84">
        <f>50.31*180/1000</f>
        <v>9.0558000000000014</v>
      </c>
      <c r="CT24" s="84">
        <f t="shared" ref="CT24:CT27" si="28">CS24*4+CR24*9+CQ24*4</f>
        <v>62.244000000000007</v>
      </c>
      <c r="CU24" s="84">
        <f>23*180/1000</f>
        <v>4.1399999999999997</v>
      </c>
      <c r="CV24" s="171"/>
    </row>
    <row r="25" spans="1:162" x14ac:dyDescent="0.35">
      <c r="B25" s="85">
        <v>274</v>
      </c>
      <c r="C25" s="85" t="s">
        <v>98</v>
      </c>
      <c r="D25" s="85">
        <v>170</v>
      </c>
      <c r="E25" s="84">
        <v>16.2</v>
      </c>
      <c r="F25" s="84">
        <v>13.28</v>
      </c>
      <c r="G25" s="84">
        <v>11.03</v>
      </c>
      <c r="H25" s="84">
        <f t="shared" ref="H25:H27" si="29">G25*4+F25*9+E25*4</f>
        <v>228.44</v>
      </c>
      <c r="I25" s="84">
        <v>3.71</v>
      </c>
      <c r="J25" s="171"/>
      <c r="L25" s="85">
        <v>300</v>
      </c>
      <c r="M25" s="85" t="s">
        <v>221</v>
      </c>
      <c r="N25" s="85">
        <v>75</v>
      </c>
      <c r="O25" s="84">
        <v>31.72</v>
      </c>
      <c r="P25" s="84">
        <v>23.6</v>
      </c>
      <c r="Q25" s="84">
        <v>51.22</v>
      </c>
      <c r="R25" s="147">
        <v>169.78</v>
      </c>
      <c r="S25" s="147">
        <v>0.75</v>
      </c>
      <c r="T25" s="171"/>
      <c r="V25" s="85">
        <v>277</v>
      </c>
      <c r="W25" s="85" t="s">
        <v>127</v>
      </c>
      <c r="X25" s="85">
        <v>60</v>
      </c>
      <c r="Y25" s="84">
        <f>15.42*60/120</f>
        <v>7.71</v>
      </c>
      <c r="Z25" s="84">
        <v>6.2050000000000001</v>
      </c>
      <c r="AA25" s="84">
        <f>3.96*60/120</f>
        <v>1.98</v>
      </c>
      <c r="AB25" s="84">
        <f t="shared" si="26"/>
        <v>94.605000000000004</v>
      </c>
      <c r="AC25" s="84">
        <f>0.6*60/120</f>
        <v>0.3</v>
      </c>
      <c r="AD25" s="171"/>
      <c r="AF25" s="81" t="s">
        <v>115</v>
      </c>
      <c r="AG25" s="81" t="s">
        <v>116</v>
      </c>
      <c r="AH25" s="81">
        <v>100</v>
      </c>
      <c r="AI25" s="84">
        <v>5.16</v>
      </c>
      <c r="AJ25" s="84">
        <v>6.9</v>
      </c>
      <c r="AK25" s="84">
        <v>12.5</v>
      </c>
      <c r="AL25" s="147">
        <v>132.86000000000001</v>
      </c>
      <c r="AM25" s="84"/>
      <c r="AN25" s="171"/>
      <c r="AP25" s="85">
        <v>205</v>
      </c>
      <c r="AQ25" s="85" t="s">
        <v>84</v>
      </c>
      <c r="AR25" s="81">
        <v>110</v>
      </c>
      <c r="AS25" s="84">
        <v>4.03</v>
      </c>
      <c r="AT25" s="84">
        <v>3.09</v>
      </c>
      <c r="AU25" s="84">
        <v>19.34</v>
      </c>
      <c r="AV25" s="147">
        <v>121.33</v>
      </c>
      <c r="AW25" s="84"/>
      <c r="AX25" s="171"/>
      <c r="AZ25" s="81">
        <v>308</v>
      </c>
      <c r="BA25" s="81" t="s">
        <v>102</v>
      </c>
      <c r="BB25" s="81">
        <v>60</v>
      </c>
      <c r="BC25" s="147">
        <v>6.3</v>
      </c>
      <c r="BD25" s="147">
        <v>5.6</v>
      </c>
      <c r="BE25" s="147">
        <v>3.9</v>
      </c>
      <c r="BF25" s="147">
        <v>92.09</v>
      </c>
      <c r="BG25" s="147">
        <v>0.18</v>
      </c>
      <c r="BH25" s="171"/>
      <c r="BJ25" s="81">
        <v>280</v>
      </c>
      <c r="BK25" s="81" t="s">
        <v>103</v>
      </c>
      <c r="BL25" s="81">
        <v>60</v>
      </c>
      <c r="BM25" s="84">
        <v>8.64</v>
      </c>
      <c r="BN25" s="84">
        <v>3.16</v>
      </c>
      <c r="BO25" s="84">
        <v>0.09</v>
      </c>
      <c r="BP25" s="84">
        <f t="shared" ref="BP25:BP28" si="30">BO25*4+BN25*9+BM25*4</f>
        <v>63.36</v>
      </c>
      <c r="BQ25" s="84"/>
      <c r="BR25" s="171"/>
      <c r="BT25" s="81"/>
      <c r="BU25" s="81" t="s">
        <v>100</v>
      </c>
      <c r="BV25" s="81">
        <v>60</v>
      </c>
      <c r="BW25" s="84">
        <v>8.09</v>
      </c>
      <c r="BX25" s="84">
        <v>2.54</v>
      </c>
      <c r="BY25" s="84">
        <v>6.41</v>
      </c>
      <c r="BZ25" s="84">
        <f t="shared" ref="BZ25:BZ28" si="31">BY25*4+BX25*9+BW25*4</f>
        <v>80.86</v>
      </c>
      <c r="CA25" s="84">
        <v>2.08</v>
      </c>
      <c r="CB25" s="171"/>
      <c r="CD25" s="81">
        <v>322</v>
      </c>
      <c r="CE25" s="81" t="s">
        <v>193</v>
      </c>
      <c r="CF25" s="81">
        <v>100</v>
      </c>
      <c r="CG25" s="84">
        <v>2.94</v>
      </c>
      <c r="CH25" s="84">
        <v>4.6100000000000003</v>
      </c>
      <c r="CI25" s="84">
        <v>19.62</v>
      </c>
      <c r="CJ25" s="84">
        <f t="shared" si="27"/>
        <v>131.72999999999999</v>
      </c>
      <c r="CK25" s="84">
        <v>17.440000000000001</v>
      </c>
      <c r="CL25" s="171"/>
      <c r="CN25" s="81"/>
      <c r="CO25" s="81" t="s">
        <v>113</v>
      </c>
      <c r="CP25" s="81">
        <v>60</v>
      </c>
      <c r="CQ25" s="84">
        <v>4.87</v>
      </c>
      <c r="CR25" s="84">
        <v>3.62</v>
      </c>
      <c r="CS25" s="84">
        <v>6.73</v>
      </c>
      <c r="CT25" s="84">
        <f t="shared" si="28"/>
        <v>78.98</v>
      </c>
      <c r="CU25" s="84">
        <v>6</v>
      </c>
      <c r="CV25" s="171"/>
    </row>
    <row r="26" spans="1:162" x14ac:dyDescent="0.35">
      <c r="B26" s="85">
        <v>372</v>
      </c>
      <c r="C26" s="85" t="s">
        <v>146</v>
      </c>
      <c r="D26" s="85">
        <v>150</v>
      </c>
      <c r="E26" s="84">
        <v>0.12</v>
      </c>
      <c r="F26" s="84">
        <v>0.09</v>
      </c>
      <c r="G26" s="84">
        <v>18.059999999999999</v>
      </c>
      <c r="H26" s="84">
        <f>G26*4+F26*9+E26*4</f>
        <v>73.53</v>
      </c>
      <c r="I26" s="82">
        <v>0.65</v>
      </c>
      <c r="J26" s="171"/>
      <c r="L26" s="85">
        <v>318</v>
      </c>
      <c r="M26" s="85" t="s">
        <v>43</v>
      </c>
      <c r="N26" s="162">
        <v>100</v>
      </c>
      <c r="O26" s="147">
        <v>1.91</v>
      </c>
      <c r="P26" s="147">
        <v>2.88</v>
      </c>
      <c r="Q26" s="147">
        <v>15.34</v>
      </c>
      <c r="R26" s="147">
        <v>94.9</v>
      </c>
      <c r="S26" s="147">
        <v>14</v>
      </c>
      <c r="T26" s="171"/>
      <c r="V26" s="85">
        <v>313</v>
      </c>
      <c r="W26" s="85" t="s">
        <v>153</v>
      </c>
      <c r="X26" s="85">
        <v>100</v>
      </c>
      <c r="Y26" s="84">
        <v>4.2</v>
      </c>
      <c r="Z26" s="84">
        <v>2.5499999999999998</v>
      </c>
      <c r="AA26" s="84">
        <v>25.9</v>
      </c>
      <c r="AB26" s="84">
        <f t="shared" si="26"/>
        <v>143.35</v>
      </c>
      <c r="AC26" s="84"/>
      <c r="AD26" s="171"/>
      <c r="AF26" s="81">
        <v>372</v>
      </c>
      <c r="AG26" s="81" t="s">
        <v>146</v>
      </c>
      <c r="AH26" s="81">
        <v>150</v>
      </c>
      <c r="AI26" s="84">
        <v>0.12</v>
      </c>
      <c r="AJ26" s="84">
        <v>0.09</v>
      </c>
      <c r="AK26" s="147">
        <v>18.059999999999999</v>
      </c>
      <c r="AL26" s="84">
        <f>AK26*4+AJ26*9+AI26*4</f>
        <v>73.53</v>
      </c>
      <c r="AM26" s="147">
        <v>0.65</v>
      </c>
      <c r="AN26" s="171"/>
      <c r="AP26" s="81">
        <v>372</v>
      </c>
      <c r="AQ26" s="81" t="s">
        <v>146</v>
      </c>
      <c r="AR26" s="91">
        <v>150</v>
      </c>
      <c r="AS26" s="84">
        <f>0.8*150/1000</f>
        <v>0.12</v>
      </c>
      <c r="AT26" s="84">
        <f>0.6*150/1000</f>
        <v>0.09</v>
      </c>
      <c r="AU26" s="84">
        <f>120.4*150/1000</f>
        <v>18.059999999999999</v>
      </c>
      <c r="AV26" s="84">
        <f t="shared" si="24"/>
        <v>73.53</v>
      </c>
      <c r="AW26" s="84">
        <f>4.3*150/1000</f>
        <v>0.64500000000000002</v>
      </c>
      <c r="AX26" s="171"/>
      <c r="AZ26" s="81">
        <v>333</v>
      </c>
      <c r="BA26" s="81" t="s">
        <v>43</v>
      </c>
      <c r="BB26" s="81">
        <v>100</v>
      </c>
      <c r="BC26" s="147">
        <v>1.91</v>
      </c>
      <c r="BD26" s="147">
        <v>2.88</v>
      </c>
      <c r="BE26" s="147">
        <v>15.34</v>
      </c>
      <c r="BF26" s="147">
        <v>94.9</v>
      </c>
      <c r="BG26" s="147">
        <v>14</v>
      </c>
      <c r="BH26" s="171"/>
      <c r="BJ26" s="85">
        <v>320</v>
      </c>
      <c r="BK26" s="85" t="s">
        <v>135</v>
      </c>
      <c r="BL26" s="85">
        <v>100</v>
      </c>
      <c r="BM26" s="84">
        <f>13.14*100/1000</f>
        <v>1.3140000000000001</v>
      </c>
      <c r="BN26" s="84">
        <f>25.9*100/1000</f>
        <v>2.59</v>
      </c>
      <c r="BO26" s="84">
        <f>51.77*100/1000</f>
        <v>5.1769999999999996</v>
      </c>
      <c r="BP26" s="84">
        <f t="shared" si="30"/>
        <v>49.274000000000001</v>
      </c>
      <c r="BQ26" s="84">
        <f>36.89*100/1000</f>
        <v>3.6890000000000001</v>
      </c>
      <c r="BR26" s="171"/>
      <c r="BT26" s="85">
        <v>205</v>
      </c>
      <c r="BU26" s="85" t="s">
        <v>84</v>
      </c>
      <c r="BV26" s="167">
        <v>110</v>
      </c>
      <c r="BW26" s="165">
        <v>4.03</v>
      </c>
      <c r="BX26" s="165">
        <v>3.09</v>
      </c>
      <c r="BY26" s="165">
        <v>19.34</v>
      </c>
      <c r="BZ26" s="147">
        <v>121.33</v>
      </c>
      <c r="CA26" s="84"/>
      <c r="CB26" s="171"/>
      <c r="CD26" s="81">
        <v>372</v>
      </c>
      <c r="CE26" s="81" t="s">
        <v>146</v>
      </c>
      <c r="CF26" s="81">
        <v>150</v>
      </c>
      <c r="CG26" s="84">
        <f>2.2*150/1000</f>
        <v>0.33</v>
      </c>
      <c r="CH26" s="84">
        <f>0.1*150/1000</f>
        <v>1.4999999999999999E-2</v>
      </c>
      <c r="CI26" s="84">
        <f>138.84*150/1000</f>
        <v>20.826000000000001</v>
      </c>
      <c r="CJ26" s="84">
        <f t="shared" si="27"/>
        <v>84.759</v>
      </c>
      <c r="CK26" s="84">
        <f>2*150/1000</f>
        <v>0.3</v>
      </c>
      <c r="CL26" s="171"/>
      <c r="CN26" s="86">
        <v>321</v>
      </c>
      <c r="CO26" s="86" t="s">
        <v>38</v>
      </c>
      <c r="CP26" s="86">
        <v>120</v>
      </c>
      <c r="CQ26" s="122">
        <v>4.9000000000000004</v>
      </c>
      <c r="CR26" s="122">
        <v>7.68</v>
      </c>
      <c r="CS26" s="122">
        <v>32.700000000000003</v>
      </c>
      <c r="CT26" s="84">
        <f t="shared" si="28"/>
        <v>219.52</v>
      </c>
      <c r="CU26" s="122">
        <v>29.06</v>
      </c>
      <c r="CV26" s="171"/>
    </row>
    <row r="27" spans="1:162" x14ac:dyDescent="0.35">
      <c r="B27" s="81"/>
      <c r="C27" s="81" t="s">
        <v>151</v>
      </c>
      <c r="D27" s="81">
        <v>30</v>
      </c>
      <c r="E27" s="84">
        <f>6.6*30/100</f>
        <v>1.98</v>
      </c>
      <c r="F27" s="84">
        <f>1.2*30/100</f>
        <v>0.36</v>
      </c>
      <c r="G27" s="84">
        <f>33.4*30/100</f>
        <v>10.02</v>
      </c>
      <c r="H27" s="84">
        <f t="shared" si="29"/>
        <v>51.24</v>
      </c>
      <c r="I27" s="84"/>
      <c r="J27" s="171"/>
      <c r="L27" s="81">
        <v>379</v>
      </c>
      <c r="M27" s="81" t="s">
        <v>164</v>
      </c>
      <c r="N27" s="81">
        <v>150</v>
      </c>
      <c r="O27" s="84">
        <v>0.17</v>
      </c>
      <c r="P27" s="84">
        <v>0.01</v>
      </c>
      <c r="Q27" s="84">
        <v>24.8</v>
      </c>
      <c r="R27" s="84">
        <v>99.99</v>
      </c>
      <c r="S27" s="84">
        <v>0.11</v>
      </c>
      <c r="T27" s="171"/>
      <c r="V27" s="85">
        <v>376</v>
      </c>
      <c r="W27" s="85" t="s">
        <v>159</v>
      </c>
      <c r="X27" s="85">
        <v>150</v>
      </c>
      <c r="Y27" s="84">
        <v>3.78</v>
      </c>
      <c r="Z27" s="84">
        <v>3.41</v>
      </c>
      <c r="AA27" s="84">
        <v>27.36</v>
      </c>
      <c r="AB27" s="84">
        <v>154.26</v>
      </c>
      <c r="AC27" s="84">
        <v>1.29</v>
      </c>
      <c r="AD27" s="171"/>
      <c r="AF27" s="81"/>
      <c r="AG27" s="81" t="s">
        <v>33</v>
      </c>
      <c r="AH27" s="81">
        <v>40</v>
      </c>
      <c r="AI27" s="84">
        <v>3.16</v>
      </c>
      <c r="AJ27" s="84">
        <v>0.4</v>
      </c>
      <c r="AK27" s="84">
        <v>19.32</v>
      </c>
      <c r="AL27" s="84">
        <v>93.52</v>
      </c>
      <c r="AM27" s="84"/>
      <c r="AN27" s="171"/>
      <c r="AP27" s="81"/>
      <c r="AQ27" s="81" t="s">
        <v>151</v>
      </c>
      <c r="AR27" s="81">
        <v>40</v>
      </c>
      <c r="AS27" s="84">
        <f>6.6*40/100</f>
        <v>2.64</v>
      </c>
      <c r="AT27" s="84">
        <f>1.2*40/100</f>
        <v>0.48</v>
      </c>
      <c r="AU27" s="84">
        <f>33.4*40/100</f>
        <v>13.36</v>
      </c>
      <c r="AV27" s="84">
        <v>68.3</v>
      </c>
      <c r="AW27" s="84"/>
      <c r="AX27" s="171"/>
      <c r="AZ27" s="81">
        <v>384</v>
      </c>
      <c r="BA27" s="81" t="s">
        <v>42</v>
      </c>
      <c r="BB27" s="81">
        <v>150</v>
      </c>
      <c r="BC27" s="84">
        <v>3.15</v>
      </c>
      <c r="BD27" s="84">
        <f>18.63*150/1000</f>
        <v>2.7945000000000002</v>
      </c>
      <c r="BE27" s="84">
        <f>151.23*150/1000</f>
        <v>22.6845</v>
      </c>
      <c r="BF27" s="84">
        <f>BE27*4+BD27*9+BC27*4</f>
        <v>128.48849999999999</v>
      </c>
      <c r="BG27" s="84">
        <f>7.19*150/1000</f>
        <v>1.0785</v>
      </c>
      <c r="BH27" s="171"/>
      <c r="BJ27" s="81">
        <v>379</v>
      </c>
      <c r="BK27" s="81" t="s">
        <v>164</v>
      </c>
      <c r="BL27" s="81">
        <v>150</v>
      </c>
      <c r="BM27" s="84">
        <v>0.17</v>
      </c>
      <c r="BN27" s="84">
        <v>0.01</v>
      </c>
      <c r="BO27" s="84">
        <v>24.8</v>
      </c>
      <c r="BP27" s="84">
        <f t="shared" si="30"/>
        <v>99.970000000000013</v>
      </c>
      <c r="BQ27" s="84">
        <v>0.11</v>
      </c>
      <c r="BR27" s="171"/>
      <c r="BT27" s="85">
        <v>379</v>
      </c>
      <c r="BU27" s="85" t="s">
        <v>164</v>
      </c>
      <c r="BV27" s="85">
        <v>150</v>
      </c>
      <c r="BW27" s="84">
        <f>1.16*150/1000</f>
        <v>0.17399999999999999</v>
      </c>
      <c r="BX27" s="84">
        <f>0.06*150/1000</f>
        <v>8.9999999999999993E-3</v>
      </c>
      <c r="BY27" s="84">
        <f>165.35*150/1000</f>
        <v>24.802499999999998</v>
      </c>
      <c r="BZ27" s="84">
        <f t="shared" si="31"/>
        <v>99.986999999999995</v>
      </c>
      <c r="CA27" s="84">
        <f>0.73*150/1000</f>
        <v>0.1095</v>
      </c>
      <c r="CB27" s="171"/>
      <c r="CD27" s="81"/>
      <c r="CE27" s="81" t="s">
        <v>33</v>
      </c>
      <c r="CF27" s="81">
        <v>20</v>
      </c>
      <c r="CG27" s="84">
        <f>7.9*20/100</f>
        <v>1.58</v>
      </c>
      <c r="CH27" s="84">
        <f>1*20/100</f>
        <v>0.2</v>
      </c>
      <c r="CI27" s="84">
        <f>48.3*20/100</f>
        <v>9.66</v>
      </c>
      <c r="CJ27" s="84">
        <f t="shared" si="27"/>
        <v>46.76</v>
      </c>
      <c r="CK27" s="84"/>
      <c r="CL27" s="171"/>
      <c r="CN27" s="81">
        <v>379</v>
      </c>
      <c r="CO27" s="81" t="s">
        <v>164</v>
      </c>
      <c r="CP27" s="81">
        <v>150</v>
      </c>
      <c r="CQ27" s="84">
        <v>0.17</v>
      </c>
      <c r="CR27" s="84">
        <v>0.01</v>
      </c>
      <c r="CS27" s="84">
        <v>24.8</v>
      </c>
      <c r="CT27" s="84">
        <f t="shared" si="28"/>
        <v>99.970000000000013</v>
      </c>
      <c r="CU27" s="84">
        <v>0.11</v>
      </c>
      <c r="CV27" s="171"/>
    </row>
    <row r="28" spans="1:162" x14ac:dyDescent="0.35">
      <c r="E28" s="93"/>
      <c r="F28" s="93"/>
      <c r="G28" s="93"/>
      <c r="H28" s="93"/>
      <c r="I28" s="93"/>
      <c r="J28" s="171"/>
      <c r="L28" s="85"/>
      <c r="M28" s="85" t="s">
        <v>33</v>
      </c>
      <c r="N28" s="85">
        <v>20</v>
      </c>
      <c r="O28" s="82">
        <f>7.9*20/100</f>
        <v>1.58</v>
      </c>
      <c r="P28" s="82">
        <f>1*20/100</f>
        <v>0.2</v>
      </c>
      <c r="Q28" s="83">
        <f>48.3*20/100</f>
        <v>9.66</v>
      </c>
      <c r="R28" s="84">
        <f t="shared" si="25"/>
        <v>46.76</v>
      </c>
      <c r="S28" s="82"/>
      <c r="T28" s="171"/>
      <c r="V28" s="85"/>
      <c r="W28" s="85" t="s">
        <v>33</v>
      </c>
      <c r="X28" s="85">
        <v>20</v>
      </c>
      <c r="Y28" s="84">
        <f>7.9*20/100</f>
        <v>1.58</v>
      </c>
      <c r="Z28" s="84">
        <f>1*20/100</f>
        <v>0.2</v>
      </c>
      <c r="AA28" s="84">
        <f>48.3*20/100</f>
        <v>9.66</v>
      </c>
      <c r="AB28" s="84">
        <f t="shared" si="26"/>
        <v>46.76</v>
      </c>
      <c r="AC28" s="84"/>
      <c r="AD28" s="171"/>
      <c r="AF28" s="81"/>
      <c r="AG28" s="81"/>
      <c r="AH28" s="81"/>
      <c r="AI28" s="82"/>
      <c r="AJ28" s="82"/>
      <c r="AK28" s="83"/>
      <c r="AL28" s="84"/>
      <c r="AM28" s="84"/>
      <c r="AN28" s="171"/>
      <c r="AX28" s="171"/>
      <c r="AZ28" s="81"/>
      <c r="BA28" s="81" t="s">
        <v>33</v>
      </c>
      <c r="BB28" s="81">
        <v>20</v>
      </c>
      <c r="BC28" s="84">
        <f>20*7.9/100</f>
        <v>1.58</v>
      </c>
      <c r="BD28" s="84">
        <f>1*20/100</f>
        <v>0.2</v>
      </c>
      <c r="BE28" s="84">
        <f>48.3*20/100</f>
        <v>9.66</v>
      </c>
      <c r="BF28" s="84">
        <f t="shared" ref="BF28" si="32">BE28*4+BD28*9+BC28*4</f>
        <v>46.76</v>
      </c>
      <c r="BG28" s="84"/>
      <c r="BH28" s="171"/>
      <c r="BJ28" s="81"/>
      <c r="BK28" s="81" t="s">
        <v>151</v>
      </c>
      <c r="BL28" s="81">
        <v>40</v>
      </c>
      <c r="BM28" s="84">
        <f>6.6*40/100</f>
        <v>2.64</v>
      </c>
      <c r="BN28" s="84">
        <f>1.2*40/100</f>
        <v>0.48</v>
      </c>
      <c r="BO28" s="84">
        <f>33.4*40/100</f>
        <v>13.36</v>
      </c>
      <c r="BP28" s="84">
        <f t="shared" si="30"/>
        <v>68.319999999999993</v>
      </c>
      <c r="BQ28" s="84"/>
      <c r="BR28" s="171"/>
      <c r="BT28" s="81"/>
      <c r="BU28" s="81" t="s">
        <v>151</v>
      </c>
      <c r="BV28" s="81">
        <v>40</v>
      </c>
      <c r="BW28" s="84">
        <f>6.6*40/100</f>
        <v>2.64</v>
      </c>
      <c r="BX28" s="84">
        <f>1.2*40/100</f>
        <v>0.48</v>
      </c>
      <c r="BY28" s="84">
        <f>33.4*40/100</f>
        <v>13.36</v>
      </c>
      <c r="BZ28" s="84">
        <f t="shared" si="31"/>
        <v>68.319999999999993</v>
      </c>
      <c r="CA28" s="84"/>
      <c r="CB28" s="171"/>
      <c r="CD28" s="81"/>
      <c r="CE28" s="81" t="s">
        <v>151</v>
      </c>
      <c r="CF28" s="81">
        <v>20</v>
      </c>
      <c r="CG28" s="84">
        <f>6.6*20/100</f>
        <v>1.32</v>
      </c>
      <c r="CH28" s="84">
        <f>1.2*20/100</f>
        <v>0.24</v>
      </c>
      <c r="CI28" s="84">
        <f>33.4*20/100</f>
        <v>6.68</v>
      </c>
      <c r="CJ28" s="84">
        <f t="shared" si="27"/>
        <v>34.159999999999997</v>
      </c>
      <c r="CK28" s="84"/>
      <c r="CL28" s="171"/>
      <c r="CN28" s="81"/>
      <c r="CO28" s="81" t="s">
        <v>33</v>
      </c>
      <c r="CP28" s="81">
        <v>30</v>
      </c>
      <c r="CQ28" s="84">
        <v>2.37</v>
      </c>
      <c r="CR28" s="84">
        <v>0.3</v>
      </c>
      <c r="CS28" s="84">
        <v>14.49</v>
      </c>
      <c r="CT28" s="84">
        <f>CS28*4+CR28*9+CQ28*4</f>
        <v>70.14</v>
      </c>
      <c r="CU28" s="84">
        <f>9.15*30/1000</f>
        <v>0.27450000000000002</v>
      </c>
      <c r="CV28" s="171"/>
    </row>
    <row r="29" spans="1:162" x14ac:dyDescent="0.35">
      <c r="E29" s="93"/>
      <c r="F29" s="93"/>
      <c r="G29" s="93"/>
      <c r="H29" s="93"/>
      <c r="I29" s="93"/>
      <c r="J29" s="171"/>
      <c r="M29" s="162"/>
      <c r="N29" s="162"/>
      <c r="O29" s="166"/>
      <c r="P29" s="166"/>
      <c r="Q29" s="166"/>
      <c r="R29" s="166"/>
      <c r="S29" s="166"/>
      <c r="T29" s="171"/>
      <c r="Y29" s="93"/>
      <c r="Z29" s="93"/>
      <c r="AA29" s="93"/>
      <c r="AB29" s="93"/>
      <c r="AC29" s="93"/>
      <c r="AD29" s="171"/>
      <c r="AI29" s="93"/>
      <c r="AJ29" s="93"/>
      <c r="AK29" s="93"/>
      <c r="AL29" s="93"/>
      <c r="AM29" s="93"/>
      <c r="AN29" s="171"/>
      <c r="AS29" s="93"/>
      <c r="AT29" s="93"/>
      <c r="AU29" s="93"/>
      <c r="AV29" s="93"/>
      <c r="AW29" s="93"/>
      <c r="AX29" s="171"/>
      <c r="BH29" s="171"/>
      <c r="BR29" s="171"/>
      <c r="BW29" s="93"/>
      <c r="BX29" s="93"/>
      <c r="BY29" s="93"/>
      <c r="BZ29" s="93"/>
      <c r="CA29" s="93"/>
      <c r="CB29" s="171"/>
      <c r="CD29" s="81"/>
      <c r="CE29" s="81"/>
      <c r="CF29" s="81"/>
      <c r="CG29" s="84"/>
      <c r="CH29" s="84"/>
      <c r="CI29" s="84"/>
      <c r="CJ29" s="84"/>
      <c r="CK29" s="84"/>
      <c r="CL29" s="171"/>
      <c r="CV29" s="171"/>
    </row>
    <row r="30" spans="1:162" x14ac:dyDescent="0.35">
      <c r="E30" s="93"/>
      <c r="F30" s="93"/>
      <c r="G30" s="93"/>
      <c r="H30" s="93"/>
      <c r="I30" s="93"/>
      <c r="J30" s="171"/>
      <c r="T30" s="171"/>
      <c r="Y30" s="93"/>
      <c r="Z30" s="93"/>
      <c r="AA30" s="93"/>
      <c r="AB30" s="93"/>
      <c r="AC30" s="93"/>
      <c r="AD30" s="171"/>
      <c r="AI30" s="93"/>
      <c r="AJ30" s="93"/>
      <c r="AK30" s="93"/>
      <c r="AL30" s="93"/>
      <c r="AM30" s="93"/>
      <c r="AN30" s="171"/>
      <c r="AS30" s="93"/>
      <c r="AT30" s="93"/>
      <c r="AU30" s="93"/>
      <c r="AV30" s="93"/>
      <c r="AW30" s="93"/>
      <c r="AX30" s="171"/>
      <c r="BH30" s="171"/>
      <c r="BJ30" s="85"/>
      <c r="BK30" s="85"/>
      <c r="BL30" s="85"/>
      <c r="BR30" s="171"/>
      <c r="BW30" s="93"/>
      <c r="BX30" s="93"/>
      <c r="BY30" s="93"/>
      <c r="BZ30" s="93"/>
      <c r="CA30" s="93"/>
      <c r="CB30" s="171"/>
      <c r="CL30" s="171"/>
      <c r="CV30" s="171"/>
    </row>
    <row r="31" spans="1:162" s="94" customFormat="1" x14ac:dyDescent="0.35">
      <c r="A31" s="94" t="s">
        <v>32</v>
      </c>
      <c r="D31" s="94">
        <f>SUM(D23:D30)</f>
        <v>570</v>
      </c>
      <c r="E31" s="94">
        <f t="shared" ref="E31:I31" si="33">SUM(E23:E30)</f>
        <v>21.23</v>
      </c>
      <c r="F31" s="94">
        <f t="shared" si="33"/>
        <v>18.069999999999997</v>
      </c>
      <c r="G31" s="94">
        <f t="shared" si="33"/>
        <v>59.539999999999992</v>
      </c>
      <c r="H31" s="94">
        <f t="shared" si="33"/>
        <v>485.73</v>
      </c>
      <c r="I31" s="94">
        <f t="shared" si="33"/>
        <v>12.660000000000002</v>
      </c>
      <c r="J31" s="171"/>
      <c r="K31" s="94" t="s">
        <v>32</v>
      </c>
      <c r="N31" s="94">
        <f t="shared" ref="N31:S31" si="34">SUM(N23:N29)</f>
        <v>565</v>
      </c>
      <c r="O31" s="94">
        <f t="shared" si="34"/>
        <v>37.962399999999995</v>
      </c>
      <c r="P31" s="94">
        <f t="shared" si="34"/>
        <v>31.490800000000004</v>
      </c>
      <c r="Q31" s="94">
        <f t="shared" si="34"/>
        <v>115.3836</v>
      </c>
      <c r="R31" s="94">
        <f t="shared" si="34"/>
        <v>522.4212</v>
      </c>
      <c r="S31" s="94">
        <f t="shared" si="34"/>
        <v>23.606400000000001</v>
      </c>
      <c r="T31" s="171"/>
      <c r="U31" s="94" t="s">
        <v>32</v>
      </c>
      <c r="X31" s="94">
        <f>SUM(X23:X30)</f>
        <v>550</v>
      </c>
      <c r="Y31" s="97">
        <f>SUM(Y23:Y30)</f>
        <v>18.780799999999999</v>
      </c>
      <c r="Z31" s="97">
        <f t="shared" ref="Z31:AC31" si="35">SUM(Z23:Z30)</f>
        <v>17.9558</v>
      </c>
      <c r="AA31" s="97">
        <f t="shared" si="35"/>
        <v>72.8994</v>
      </c>
      <c r="AB31" s="97">
        <f t="shared" si="35"/>
        <v>527.33299999999997</v>
      </c>
      <c r="AC31" s="97">
        <f t="shared" si="35"/>
        <v>13.938800000000001</v>
      </c>
      <c r="AD31" s="171"/>
      <c r="AE31" s="94" t="s">
        <v>32</v>
      </c>
      <c r="AH31" s="94">
        <f t="shared" ref="AH31:AM31" si="36">SUM(AH23:AH30)</f>
        <v>530</v>
      </c>
      <c r="AI31" s="94">
        <f t="shared" si="36"/>
        <v>20.37</v>
      </c>
      <c r="AJ31" s="94">
        <f t="shared" si="36"/>
        <v>18.679999999999996</v>
      </c>
      <c r="AK31" s="94">
        <f t="shared" si="36"/>
        <v>79.38</v>
      </c>
      <c r="AL31" s="94">
        <f t="shared" si="36"/>
        <v>567.73</v>
      </c>
      <c r="AM31" s="94">
        <f t="shared" si="36"/>
        <v>8.9</v>
      </c>
      <c r="AN31" s="171"/>
      <c r="AO31" s="94" t="s">
        <v>32</v>
      </c>
      <c r="AR31" s="94">
        <f t="shared" ref="AR31:AW31" si="37">SUM(AR23:AR30)</f>
        <v>540</v>
      </c>
      <c r="AS31" s="94">
        <f t="shared" si="37"/>
        <v>17.45</v>
      </c>
      <c r="AT31" s="94">
        <f t="shared" si="37"/>
        <v>15.31</v>
      </c>
      <c r="AU31" s="94">
        <f t="shared" si="37"/>
        <v>71.94</v>
      </c>
      <c r="AV31" s="94">
        <f t="shared" si="37"/>
        <v>495.36999999999995</v>
      </c>
      <c r="AW31" s="94">
        <f t="shared" si="37"/>
        <v>8.6849999999999987</v>
      </c>
      <c r="AX31" s="171"/>
      <c r="AY31" s="94" t="s">
        <v>32</v>
      </c>
      <c r="BB31" s="97">
        <f>SUM(BB23:BB30)</f>
        <v>530</v>
      </c>
      <c r="BC31" s="97">
        <f t="shared" ref="BC31:BG31" si="38">SUM(BC23:BC28)</f>
        <v>16.713999999999999</v>
      </c>
      <c r="BD31" s="97">
        <f t="shared" si="38"/>
        <v>16.084499999999998</v>
      </c>
      <c r="BE31" s="97">
        <f t="shared" si="38"/>
        <v>64.734499999999997</v>
      </c>
      <c r="BF31" s="97">
        <f t="shared" si="38"/>
        <v>471.63849999999996</v>
      </c>
      <c r="BG31" s="97">
        <f t="shared" si="38"/>
        <v>21.208500000000001</v>
      </c>
      <c r="BH31" s="171"/>
      <c r="BI31" s="94" t="s">
        <v>32</v>
      </c>
      <c r="BL31" s="97">
        <f>SUM(BL23:BL28)</f>
        <v>560</v>
      </c>
      <c r="BM31" s="97">
        <f>SUM(BM24:BM28)</f>
        <v>22.584000000000003</v>
      </c>
      <c r="BN31" s="97">
        <f>SUM(BN24:BN28)</f>
        <v>10.130000000000001</v>
      </c>
      <c r="BO31" s="97">
        <f>SUM(BO24:BO28)</f>
        <v>57.247</v>
      </c>
      <c r="BP31" s="97">
        <f>SUM(BP24:BP28)</f>
        <v>410.49400000000003</v>
      </c>
      <c r="BQ31" s="97">
        <f>SUM(BQ24:BQ28)</f>
        <v>10.36</v>
      </c>
      <c r="BR31" s="171"/>
      <c r="BS31" s="94" t="s">
        <v>32</v>
      </c>
      <c r="BV31" s="94">
        <f>SUM(BV23:BV29)</f>
        <v>580</v>
      </c>
      <c r="BW31" s="97">
        <f>SUM(BW24:BW30)</f>
        <v>17.533999999999999</v>
      </c>
      <c r="BX31" s="94">
        <f>SUM(BX24:BX30)</f>
        <v>8.9090000000000007</v>
      </c>
      <c r="BY31" s="94">
        <f>SUM(BY24:BY30)</f>
        <v>80.912499999999994</v>
      </c>
      <c r="BZ31" s="94">
        <f>SUM(BZ24:BZ30)</f>
        <v>474.017</v>
      </c>
      <c r="CA31" s="94">
        <f>SUM(CA24:CA30)</f>
        <v>10.439500000000001</v>
      </c>
      <c r="CB31" s="171"/>
      <c r="CC31" s="94" t="s">
        <v>32</v>
      </c>
      <c r="CF31" s="94">
        <f t="shared" ref="CF31:CK31" si="39">SUM(CF23:CF30)</f>
        <v>530</v>
      </c>
      <c r="CG31" s="97">
        <f t="shared" si="39"/>
        <v>16.589199999999998</v>
      </c>
      <c r="CH31" s="97">
        <f t="shared" si="39"/>
        <v>18.2272</v>
      </c>
      <c r="CI31" s="97">
        <f t="shared" si="39"/>
        <v>71.933799999999991</v>
      </c>
      <c r="CJ31" s="97">
        <f t="shared" si="39"/>
        <v>518.13679999999999</v>
      </c>
      <c r="CK31" s="97">
        <f t="shared" si="39"/>
        <v>30.781600000000001</v>
      </c>
      <c r="CL31" s="171"/>
      <c r="CM31" s="94" t="s">
        <v>32</v>
      </c>
      <c r="CP31" s="94">
        <f t="shared" ref="CP31:CU31" si="40">SUM(CP23:CP30)</f>
        <v>540</v>
      </c>
      <c r="CQ31" s="94">
        <f t="shared" si="40"/>
        <v>13.793199999999999</v>
      </c>
      <c r="CR31" s="94">
        <f t="shared" si="40"/>
        <v>13.842000000000001</v>
      </c>
      <c r="CS31" s="94">
        <f t="shared" si="40"/>
        <v>87.775800000000004</v>
      </c>
      <c r="CT31" s="94">
        <f t="shared" si="40"/>
        <v>530.85400000000004</v>
      </c>
      <c r="CU31" s="94">
        <f t="shared" si="40"/>
        <v>39.584500000000006</v>
      </c>
      <c r="CV31" s="171"/>
      <c r="CW31" s="85"/>
      <c r="CX31" s="85"/>
      <c r="CY31" s="85"/>
      <c r="CZ31" s="85"/>
      <c r="DA31" s="85"/>
      <c r="DB31" s="85"/>
      <c r="DC31" s="85"/>
      <c r="DD31" s="85"/>
      <c r="DE31" s="85"/>
      <c r="DF31" s="85"/>
      <c r="DG31" s="85"/>
      <c r="DH31" s="85"/>
      <c r="DI31" s="85"/>
      <c r="DJ31" s="85"/>
      <c r="DK31" s="85"/>
      <c r="DL31" s="85"/>
      <c r="DM31" s="85"/>
      <c r="DN31" s="85"/>
      <c r="DO31" s="85"/>
      <c r="DP31" s="85"/>
      <c r="DQ31" s="85"/>
      <c r="DR31" s="85"/>
      <c r="DS31" s="85"/>
      <c r="DT31" s="85"/>
      <c r="DU31" s="85"/>
      <c r="DV31" s="85"/>
      <c r="DW31" s="85"/>
      <c r="DX31" s="85"/>
      <c r="DY31" s="85"/>
      <c r="DZ31" s="85"/>
      <c r="EA31" s="85"/>
      <c r="EB31" s="85"/>
      <c r="EC31" s="85"/>
      <c r="ED31" s="85"/>
      <c r="EE31" s="85"/>
      <c r="EF31" s="85"/>
      <c r="EG31" s="85"/>
      <c r="EH31" s="85"/>
      <c r="EI31" s="85"/>
      <c r="EJ31" s="85"/>
      <c r="EK31" s="85"/>
      <c r="EL31" s="85"/>
      <c r="EM31" s="85"/>
      <c r="EN31" s="85"/>
      <c r="EO31" s="85"/>
      <c r="EP31" s="85"/>
      <c r="EQ31" s="85"/>
      <c r="ER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  <c r="FF31" s="85"/>
    </row>
    <row r="32" spans="1:162" s="94" customFormat="1" x14ac:dyDescent="0.35">
      <c r="A32" s="94" t="s">
        <v>30</v>
      </c>
      <c r="D32" s="94" t="s">
        <v>124</v>
      </c>
      <c r="E32" s="94">
        <v>14.7</v>
      </c>
      <c r="F32" s="94">
        <v>16.45</v>
      </c>
      <c r="G32" s="95">
        <v>71.05</v>
      </c>
      <c r="H32" s="95">
        <v>490</v>
      </c>
      <c r="J32" s="171"/>
      <c r="K32" s="94" t="s">
        <v>30</v>
      </c>
      <c r="N32" s="94" t="s">
        <v>124</v>
      </c>
      <c r="O32" s="94">
        <v>14.7</v>
      </c>
      <c r="P32" s="94">
        <v>16.45</v>
      </c>
      <c r="Q32" s="95">
        <v>71.05</v>
      </c>
      <c r="R32" s="95">
        <v>490</v>
      </c>
      <c r="T32" s="171"/>
      <c r="U32" s="94" t="s">
        <v>30</v>
      </c>
      <c r="X32" s="94" t="s">
        <v>124</v>
      </c>
      <c r="Y32" s="94">
        <v>14.7</v>
      </c>
      <c r="Z32" s="94">
        <v>16.45</v>
      </c>
      <c r="AA32" s="95">
        <v>71.05</v>
      </c>
      <c r="AB32" s="95">
        <v>490</v>
      </c>
      <c r="AD32" s="171"/>
      <c r="AE32" s="94" t="s">
        <v>30</v>
      </c>
      <c r="AH32" s="94" t="s">
        <v>124</v>
      </c>
      <c r="AI32" s="97">
        <v>14.7</v>
      </c>
      <c r="AJ32" s="97">
        <v>16.45</v>
      </c>
      <c r="AK32" s="97">
        <v>71.05</v>
      </c>
      <c r="AL32" s="97">
        <v>490</v>
      </c>
      <c r="AM32" s="97"/>
      <c r="AN32" s="171"/>
      <c r="AO32" s="94" t="s">
        <v>30</v>
      </c>
      <c r="AR32" s="94" t="s">
        <v>124</v>
      </c>
      <c r="AS32" s="97">
        <v>14.7</v>
      </c>
      <c r="AT32" s="97">
        <v>16.45</v>
      </c>
      <c r="AU32" s="97">
        <v>71.05</v>
      </c>
      <c r="AV32" s="97">
        <v>490</v>
      </c>
      <c r="AW32" s="97"/>
      <c r="AX32" s="171"/>
      <c r="AY32" s="94" t="s">
        <v>30</v>
      </c>
      <c r="BB32" s="94" t="s">
        <v>124</v>
      </c>
      <c r="BC32" s="97">
        <v>14.7</v>
      </c>
      <c r="BD32" s="97">
        <v>16.45</v>
      </c>
      <c r="BE32" s="97">
        <v>71.05</v>
      </c>
      <c r="BF32" s="97">
        <v>490</v>
      </c>
      <c r="BG32" s="97"/>
      <c r="BH32" s="171"/>
      <c r="BI32" s="94" t="s">
        <v>30</v>
      </c>
      <c r="BL32" s="94" t="s">
        <v>124</v>
      </c>
      <c r="BM32" s="97">
        <v>14.7</v>
      </c>
      <c r="BN32" s="97">
        <v>16.45</v>
      </c>
      <c r="BO32" s="97">
        <v>71.05</v>
      </c>
      <c r="BP32" s="97">
        <v>490</v>
      </c>
      <c r="BQ32" s="97"/>
      <c r="BR32" s="171"/>
      <c r="BS32" s="94" t="s">
        <v>30</v>
      </c>
      <c r="BV32" s="94" t="s">
        <v>124</v>
      </c>
      <c r="BW32" s="94">
        <v>14.7</v>
      </c>
      <c r="BX32" s="94">
        <v>16.45</v>
      </c>
      <c r="BY32" s="95">
        <v>71.05</v>
      </c>
      <c r="BZ32" s="95">
        <v>490</v>
      </c>
      <c r="CB32" s="171"/>
      <c r="CC32" s="94" t="s">
        <v>30</v>
      </c>
      <c r="CF32" s="94" t="s">
        <v>124</v>
      </c>
      <c r="CG32" s="94">
        <v>14.7</v>
      </c>
      <c r="CH32" s="94">
        <v>16.45</v>
      </c>
      <c r="CI32" s="95">
        <v>71.05</v>
      </c>
      <c r="CJ32" s="95">
        <v>490</v>
      </c>
      <c r="CL32" s="171"/>
      <c r="CM32" s="94" t="s">
        <v>30</v>
      </c>
      <c r="CP32" s="94" t="s">
        <v>124</v>
      </c>
      <c r="CQ32" s="94">
        <v>14.7</v>
      </c>
      <c r="CR32" s="94">
        <v>16.45</v>
      </c>
      <c r="CS32" s="95">
        <v>71.05</v>
      </c>
      <c r="CT32" s="95">
        <v>490</v>
      </c>
      <c r="CV32" s="171"/>
      <c r="CW32" s="85"/>
      <c r="CX32" s="85"/>
      <c r="CY32" s="85"/>
      <c r="CZ32" s="85"/>
      <c r="DA32" s="85"/>
      <c r="DB32" s="85"/>
      <c r="DC32" s="85"/>
      <c r="DD32" s="85"/>
      <c r="DE32" s="85"/>
      <c r="DF32" s="85"/>
      <c r="DG32" s="85"/>
      <c r="DH32" s="85"/>
      <c r="DI32" s="85"/>
      <c r="DJ32" s="85"/>
      <c r="DK32" s="85"/>
      <c r="DL32" s="85"/>
      <c r="DM32" s="85"/>
      <c r="DN32" s="85"/>
      <c r="DO32" s="85"/>
      <c r="DP32" s="85"/>
      <c r="DQ32" s="85"/>
      <c r="DR32" s="85"/>
      <c r="DS32" s="85"/>
      <c r="DT32" s="85"/>
      <c r="DU32" s="85"/>
      <c r="DV32" s="85"/>
      <c r="DW32" s="85"/>
      <c r="DX32" s="85"/>
      <c r="DY32" s="85"/>
      <c r="DZ32" s="85"/>
      <c r="EA32" s="85"/>
      <c r="EB32" s="85"/>
      <c r="EC32" s="85"/>
      <c r="ED32" s="85"/>
      <c r="EE32" s="85"/>
      <c r="EF32" s="85"/>
      <c r="EG32" s="85"/>
      <c r="EH32" s="85"/>
      <c r="EI32" s="85"/>
      <c r="EJ32" s="85"/>
      <c r="EK32" s="85"/>
      <c r="EL32" s="85"/>
      <c r="EM32" s="85"/>
      <c r="EN32" s="85"/>
      <c r="EO32" s="85"/>
      <c r="EP32" s="85"/>
      <c r="EQ32" s="85"/>
      <c r="ER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  <c r="FF32" s="85"/>
    </row>
    <row r="33" spans="1:162" s="85" customFormat="1" x14ac:dyDescent="0.35">
      <c r="G33" s="98"/>
      <c r="H33" s="98"/>
      <c r="J33" s="171"/>
      <c r="Q33" s="98"/>
      <c r="R33" s="98"/>
      <c r="T33" s="171"/>
      <c r="AA33" s="98"/>
      <c r="AB33" s="98"/>
      <c r="AD33" s="171"/>
      <c r="AI33" s="99"/>
      <c r="AJ33" s="99"/>
      <c r="AK33" s="99"/>
      <c r="AL33" s="99"/>
      <c r="AM33" s="99"/>
      <c r="AN33" s="171"/>
      <c r="AS33" s="99"/>
      <c r="AT33" s="99"/>
      <c r="AU33" s="99"/>
      <c r="AV33" s="99"/>
      <c r="AW33" s="99"/>
      <c r="AX33" s="171"/>
      <c r="BC33" s="99"/>
      <c r="BD33" s="99"/>
      <c r="BE33" s="99"/>
      <c r="BF33" s="99"/>
      <c r="BG33" s="99"/>
      <c r="BH33" s="171"/>
      <c r="BM33" s="99"/>
      <c r="BN33" s="99"/>
      <c r="BO33" s="99"/>
      <c r="BP33" s="99"/>
      <c r="BQ33" s="99"/>
      <c r="BR33" s="171"/>
      <c r="BY33" s="98"/>
      <c r="BZ33" s="98"/>
      <c r="CB33" s="171"/>
      <c r="CI33" s="98"/>
      <c r="CJ33" s="98"/>
      <c r="CL33" s="171"/>
      <c r="CS33" s="98"/>
      <c r="CT33" s="98"/>
      <c r="CV33" s="171"/>
    </row>
    <row r="34" spans="1:162" s="80" customFormat="1" x14ac:dyDescent="0.35">
      <c r="A34" s="173" t="s">
        <v>29</v>
      </c>
      <c r="B34" s="174"/>
      <c r="C34" s="174"/>
      <c r="D34" s="174"/>
      <c r="E34" s="174"/>
      <c r="F34" s="174"/>
      <c r="G34" s="174"/>
      <c r="H34" s="174"/>
      <c r="I34" s="175"/>
      <c r="J34" s="171"/>
      <c r="K34" s="173" t="s">
        <v>29</v>
      </c>
      <c r="L34" s="174"/>
      <c r="M34" s="174"/>
      <c r="N34" s="174"/>
      <c r="O34" s="174"/>
      <c r="P34" s="174"/>
      <c r="Q34" s="174"/>
      <c r="R34" s="174"/>
      <c r="S34" s="175"/>
      <c r="T34" s="171"/>
      <c r="U34" s="173" t="s">
        <v>29</v>
      </c>
      <c r="V34" s="174"/>
      <c r="W34" s="174"/>
      <c r="X34" s="174"/>
      <c r="Y34" s="174"/>
      <c r="Z34" s="174"/>
      <c r="AA34" s="174"/>
      <c r="AB34" s="174"/>
      <c r="AC34" s="175"/>
      <c r="AD34" s="171"/>
      <c r="AE34" s="173" t="s">
        <v>29</v>
      </c>
      <c r="AF34" s="174"/>
      <c r="AG34" s="174"/>
      <c r="AH34" s="174"/>
      <c r="AI34" s="174"/>
      <c r="AJ34" s="174"/>
      <c r="AK34" s="174"/>
      <c r="AL34" s="174"/>
      <c r="AM34" s="175"/>
      <c r="AN34" s="171"/>
      <c r="AO34" s="173" t="s">
        <v>29</v>
      </c>
      <c r="AP34" s="174"/>
      <c r="AQ34" s="174"/>
      <c r="AR34" s="174"/>
      <c r="AS34" s="174"/>
      <c r="AT34" s="174"/>
      <c r="AU34" s="174"/>
      <c r="AV34" s="174"/>
      <c r="AW34" s="175"/>
      <c r="AX34" s="171"/>
      <c r="AY34" s="173" t="s">
        <v>29</v>
      </c>
      <c r="AZ34" s="174"/>
      <c r="BA34" s="174"/>
      <c r="BB34" s="174"/>
      <c r="BC34" s="174"/>
      <c r="BD34" s="174"/>
      <c r="BE34" s="174"/>
      <c r="BF34" s="174"/>
      <c r="BG34" s="175"/>
      <c r="BH34" s="171"/>
      <c r="BI34" s="173" t="s">
        <v>29</v>
      </c>
      <c r="BJ34" s="174"/>
      <c r="BK34" s="174"/>
      <c r="BL34" s="174"/>
      <c r="BM34" s="174"/>
      <c r="BN34" s="174"/>
      <c r="BO34" s="174"/>
      <c r="BP34" s="174"/>
      <c r="BQ34" s="175"/>
      <c r="BR34" s="171"/>
      <c r="BS34" s="173" t="s">
        <v>29</v>
      </c>
      <c r="BT34" s="174"/>
      <c r="BU34" s="174"/>
      <c r="BV34" s="174"/>
      <c r="BW34" s="174"/>
      <c r="BX34" s="174"/>
      <c r="BY34" s="174"/>
      <c r="BZ34" s="174"/>
      <c r="CA34" s="175"/>
      <c r="CB34" s="171"/>
      <c r="CC34" s="173" t="s">
        <v>29</v>
      </c>
      <c r="CD34" s="174"/>
      <c r="CE34" s="174"/>
      <c r="CF34" s="174"/>
      <c r="CG34" s="174"/>
      <c r="CH34" s="174"/>
      <c r="CI34" s="174"/>
      <c r="CJ34" s="174"/>
      <c r="CK34" s="175"/>
      <c r="CL34" s="171"/>
      <c r="CM34" s="173" t="s">
        <v>29</v>
      </c>
      <c r="CN34" s="174"/>
      <c r="CO34" s="174"/>
      <c r="CP34" s="174"/>
      <c r="CQ34" s="174"/>
      <c r="CR34" s="174"/>
      <c r="CS34" s="174"/>
      <c r="CT34" s="174"/>
      <c r="CU34" s="175"/>
      <c r="CV34" s="171"/>
      <c r="CW34" s="100"/>
      <c r="CX34" s="100"/>
      <c r="CY34" s="100"/>
      <c r="CZ34" s="100"/>
      <c r="DA34" s="100"/>
      <c r="DB34" s="100"/>
      <c r="DC34" s="100"/>
      <c r="DD34" s="100"/>
      <c r="DE34" s="100"/>
      <c r="DF34" s="100"/>
      <c r="DG34" s="100"/>
      <c r="DH34" s="100"/>
      <c r="DI34" s="100"/>
      <c r="DJ34" s="100"/>
      <c r="DK34" s="100"/>
      <c r="DL34" s="100"/>
      <c r="DM34" s="100"/>
      <c r="DN34" s="100"/>
      <c r="DO34" s="100"/>
      <c r="DP34" s="100"/>
      <c r="DQ34" s="100"/>
      <c r="DR34" s="100"/>
      <c r="DS34" s="100"/>
      <c r="DT34" s="100"/>
      <c r="DU34" s="100"/>
      <c r="DV34" s="100"/>
      <c r="DW34" s="100"/>
      <c r="DX34" s="100"/>
      <c r="DY34" s="100"/>
      <c r="DZ34" s="100"/>
      <c r="EA34" s="100"/>
      <c r="EB34" s="100"/>
      <c r="EC34" s="100"/>
      <c r="ED34" s="100"/>
      <c r="EE34" s="100"/>
      <c r="EF34" s="100"/>
      <c r="EG34" s="100"/>
      <c r="EH34" s="100"/>
      <c r="EI34" s="100"/>
      <c r="EJ34" s="100"/>
      <c r="EK34" s="100"/>
      <c r="EL34" s="100"/>
      <c r="EM34" s="100"/>
      <c r="EN34" s="100"/>
      <c r="EO34" s="100"/>
      <c r="EP34" s="100"/>
      <c r="EQ34" s="100"/>
      <c r="ER34" s="100"/>
      <c r="ES34" s="100"/>
      <c r="ET34" s="100"/>
      <c r="EU34" s="100"/>
      <c r="EV34" s="100"/>
      <c r="EW34" s="100"/>
      <c r="EX34" s="100"/>
      <c r="EY34" s="100"/>
      <c r="EZ34" s="100"/>
      <c r="FA34" s="100"/>
      <c r="FB34" s="100"/>
      <c r="FC34" s="100"/>
      <c r="FD34" s="100"/>
      <c r="FE34" s="100"/>
      <c r="FF34" s="100"/>
    </row>
    <row r="35" spans="1:162" x14ac:dyDescent="0.35">
      <c r="B35" s="85">
        <v>313</v>
      </c>
      <c r="C35" s="85" t="s">
        <v>153</v>
      </c>
      <c r="D35" s="85">
        <v>120</v>
      </c>
      <c r="E35" s="84">
        <v>4.2</v>
      </c>
      <c r="F35" s="84">
        <v>2.5499999999999998</v>
      </c>
      <c r="G35" s="84">
        <v>25.9</v>
      </c>
      <c r="H35" s="84">
        <f t="shared" ref="H35:H40" si="41">G35*4+F35*9+E35*4</f>
        <v>143.35</v>
      </c>
      <c r="I35" s="84"/>
      <c r="J35" s="171"/>
      <c r="L35" s="81"/>
      <c r="M35" s="81" t="s">
        <v>198</v>
      </c>
      <c r="N35" s="81">
        <v>40</v>
      </c>
      <c r="O35" s="147">
        <v>5.0999999999999996</v>
      </c>
      <c r="P35" s="84">
        <v>4.5999999999999996</v>
      </c>
      <c r="Q35" s="84">
        <v>0.3</v>
      </c>
      <c r="R35" s="147">
        <v>48.6</v>
      </c>
      <c r="S35" s="84"/>
      <c r="T35" s="171"/>
      <c r="V35" s="85">
        <v>55</v>
      </c>
      <c r="W35" s="85" t="s">
        <v>95</v>
      </c>
      <c r="X35" s="85">
        <v>40</v>
      </c>
      <c r="Y35" s="84">
        <v>0.52</v>
      </c>
      <c r="Z35" s="84">
        <v>1.65</v>
      </c>
      <c r="AA35" s="84">
        <v>2.86</v>
      </c>
      <c r="AB35" s="84">
        <v>28.4</v>
      </c>
      <c r="AC35" s="84">
        <v>1.75</v>
      </c>
      <c r="AD35" s="171"/>
      <c r="AF35" s="86">
        <v>41</v>
      </c>
      <c r="AG35" s="86" t="s">
        <v>137</v>
      </c>
      <c r="AH35" s="86">
        <v>40</v>
      </c>
      <c r="AI35" s="84">
        <f>8.61*40/1000</f>
        <v>0.34439999999999998</v>
      </c>
      <c r="AJ35" s="84">
        <f>52.2*40/1000</f>
        <v>2.0880000000000001</v>
      </c>
      <c r="AK35" s="84">
        <f>78.71*40/1000</f>
        <v>3.1483999999999996</v>
      </c>
      <c r="AL35" s="84">
        <f>AK35*4+AJ35*9+AI35*4</f>
        <v>32.763199999999998</v>
      </c>
      <c r="AM35" s="84">
        <f>69.5*40/1000</f>
        <v>2.78</v>
      </c>
      <c r="AN35" s="171"/>
      <c r="AP35" s="85">
        <v>54</v>
      </c>
      <c r="AQ35" s="85" t="s">
        <v>139</v>
      </c>
      <c r="AR35" s="85">
        <v>40</v>
      </c>
      <c r="AS35" s="84">
        <v>0.88</v>
      </c>
      <c r="AT35" s="84">
        <v>1.84</v>
      </c>
      <c r="AU35" s="84">
        <v>4.3499999999999996</v>
      </c>
      <c r="AV35" s="147">
        <v>37.46</v>
      </c>
      <c r="AW35" s="84">
        <v>2.0459999999999998</v>
      </c>
      <c r="AX35" s="171"/>
      <c r="AZ35" s="85">
        <v>52</v>
      </c>
      <c r="BA35" s="85" t="s">
        <v>138</v>
      </c>
      <c r="BB35" s="85">
        <v>40</v>
      </c>
      <c r="BC35" s="84">
        <f>15.02*60/1000</f>
        <v>0.90119999999999989</v>
      </c>
      <c r="BD35" s="84">
        <v>1.84</v>
      </c>
      <c r="BE35" s="84">
        <v>5.33</v>
      </c>
      <c r="BF35" s="147">
        <v>41.64</v>
      </c>
      <c r="BG35" s="84">
        <v>2.69</v>
      </c>
      <c r="BH35" s="171"/>
      <c r="BJ35" s="86">
        <v>40</v>
      </c>
      <c r="BK35" s="86" t="s">
        <v>137</v>
      </c>
      <c r="BL35" s="86">
        <v>40</v>
      </c>
      <c r="BM35" s="84">
        <f>8.61*40/1000</f>
        <v>0.34439999999999998</v>
      </c>
      <c r="BN35" s="84">
        <f>52.2*40/1000</f>
        <v>2.0880000000000001</v>
      </c>
      <c r="BO35" s="84">
        <f>78.71*40/1000</f>
        <v>3.1483999999999996</v>
      </c>
      <c r="BP35" s="84">
        <f>BO35*4+BN35*9+BM35*4</f>
        <v>32.763199999999998</v>
      </c>
      <c r="BQ35" s="84">
        <f>69.5*40/1000</f>
        <v>2.78</v>
      </c>
      <c r="BR35" s="171"/>
      <c r="BT35" s="87"/>
      <c r="BU35" s="81" t="s">
        <v>229</v>
      </c>
      <c r="BV35" s="87">
        <v>40</v>
      </c>
      <c r="BW35" s="84">
        <v>1.1499999999999999</v>
      </c>
      <c r="BX35" s="84">
        <v>2.4700000000000002</v>
      </c>
      <c r="BY35" s="84">
        <v>3.21</v>
      </c>
      <c r="BZ35" s="84">
        <f>BY35*4+BX35*9+BW35*4</f>
        <v>39.67</v>
      </c>
      <c r="CA35" s="84">
        <v>3.72</v>
      </c>
      <c r="CB35" s="171"/>
      <c r="CD35" s="81"/>
      <c r="CE35" s="81" t="s">
        <v>192</v>
      </c>
      <c r="CF35" s="81">
        <v>30</v>
      </c>
      <c r="CG35" s="84">
        <v>0.66500000000000004</v>
      </c>
      <c r="CH35" s="84"/>
      <c r="CI35" s="84">
        <v>6.8620000000000001</v>
      </c>
      <c r="CJ35" s="84">
        <f>CI35*4+CH35*9+CG35*4</f>
        <v>30.108000000000001</v>
      </c>
      <c r="CK35" s="84"/>
      <c r="CL35" s="171"/>
      <c r="CN35" s="85">
        <v>54</v>
      </c>
      <c r="CO35" s="85" t="s">
        <v>138</v>
      </c>
      <c r="CP35" s="85">
        <v>40</v>
      </c>
      <c r="CQ35" s="84">
        <v>0.94</v>
      </c>
      <c r="CR35" s="84">
        <v>1.84</v>
      </c>
      <c r="CS35" s="84">
        <v>5.33</v>
      </c>
      <c r="CT35" s="84">
        <f>CS35*4+CR35*9+CQ35*4</f>
        <v>41.64</v>
      </c>
      <c r="CU35" s="84">
        <v>2.7</v>
      </c>
      <c r="CV35" s="171"/>
    </row>
    <row r="36" spans="1:162" s="85" customFormat="1" x14ac:dyDescent="0.35">
      <c r="B36" s="86">
        <v>437</v>
      </c>
      <c r="C36" s="86" t="s">
        <v>219</v>
      </c>
      <c r="D36" s="148">
        <v>80</v>
      </c>
      <c r="E36" s="149">
        <v>14.52</v>
      </c>
      <c r="F36" s="122">
        <v>13.6</v>
      </c>
      <c r="G36" s="129">
        <v>1.6</v>
      </c>
      <c r="H36" s="123">
        <v>185</v>
      </c>
      <c r="I36" s="122">
        <v>0</v>
      </c>
      <c r="J36" s="171"/>
      <c r="L36" s="85">
        <v>253</v>
      </c>
      <c r="M36" s="85" t="s">
        <v>104</v>
      </c>
      <c r="N36" s="85">
        <v>80</v>
      </c>
      <c r="O36" s="84">
        <v>9.83</v>
      </c>
      <c r="P36" s="84">
        <v>4.2699999999999996</v>
      </c>
      <c r="Q36" s="84">
        <v>3.45</v>
      </c>
      <c r="R36" s="84">
        <f t="shared" ref="R36:R40" si="42">Q36*4+P36*9+O36*4</f>
        <v>91.549999999999983</v>
      </c>
      <c r="S36" s="84">
        <v>1.61</v>
      </c>
      <c r="T36" s="171"/>
      <c r="U36" s="86"/>
      <c r="V36" s="81">
        <v>261</v>
      </c>
      <c r="W36" s="81" t="s">
        <v>106</v>
      </c>
      <c r="X36" s="81">
        <v>60</v>
      </c>
      <c r="Y36" s="84">
        <v>7.18</v>
      </c>
      <c r="Z36" s="84">
        <v>2.79</v>
      </c>
      <c r="AA36" s="84">
        <v>7.26</v>
      </c>
      <c r="AB36" s="147">
        <v>82.99</v>
      </c>
      <c r="AC36" s="84">
        <v>0.09</v>
      </c>
      <c r="AD36" s="171"/>
      <c r="AF36" s="85">
        <v>159</v>
      </c>
      <c r="AG36" s="85" t="s">
        <v>130</v>
      </c>
      <c r="AH36" s="85">
        <v>160</v>
      </c>
      <c r="AI36" s="84">
        <f>9.57*160/100</f>
        <v>15.312000000000001</v>
      </c>
      <c r="AJ36" s="84">
        <f>8.46*160/100</f>
        <v>13.536000000000001</v>
      </c>
      <c r="AK36" s="84">
        <f>15.7*160/100</f>
        <v>25.12</v>
      </c>
      <c r="AL36" s="84">
        <f>AK36*4+AJ36*9+AI36*4</f>
        <v>283.55200000000002</v>
      </c>
      <c r="AM36" s="84">
        <f>2.19*150/100</f>
        <v>3.2850000000000001</v>
      </c>
      <c r="AN36" s="171"/>
      <c r="AP36" s="85">
        <v>291</v>
      </c>
      <c r="AQ36" s="85" t="s">
        <v>227</v>
      </c>
      <c r="AR36" s="85">
        <v>120</v>
      </c>
      <c r="AS36" s="84">
        <v>9.09</v>
      </c>
      <c r="AT36" s="84">
        <v>182.4</v>
      </c>
      <c r="AU36" s="84">
        <v>19.2</v>
      </c>
      <c r="AV36" s="147">
        <v>177.6</v>
      </c>
      <c r="AW36" s="84">
        <v>2.85</v>
      </c>
      <c r="AX36" s="171"/>
      <c r="AY36" s="86"/>
      <c r="AZ36" s="81"/>
      <c r="BA36" s="81" t="s">
        <v>105</v>
      </c>
      <c r="BB36" s="81">
        <v>60</v>
      </c>
      <c r="BC36" s="84">
        <v>10.53</v>
      </c>
      <c r="BD36" s="84">
        <v>1.42</v>
      </c>
      <c r="BE36" s="84">
        <v>0.47</v>
      </c>
      <c r="BF36" s="84">
        <f t="shared" ref="BF36:BF40" si="43">BE36*4+BD36*9+BC36*4</f>
        <v>56.78</v>
      </c>
      <c r="BG36" s="84">
        <v>0.3</v>
      </c>
      <c r="BH36" s="171"/>
      <c r="BI36" s="86"/>
      <c r="BJ36" s="81">
        <v>236</v>
      </c>
      <c r="BK36" s="81" t="s">
        <v>187</v>
      </c>
      <c r="BL36" s="81">
        <v>130</v>
      </c>
      <c r="BM36" s="84">
        <v>19.68</v>
      </c>
      <c r="BN36" s="84" t="s">
        <v>188</v>
      </c>
      <c r="BO36" s="84">
        <v>31.63</v>
      </c>
      <c r="BP36" s="84">
        <v>331.14</v>
      </c>
      <c r="BQ36" s="84">
        <v>0.34</v>
      </c>
      <c r="BR36" s="171"/>
      <c r="BS36" s="86"/>
      <c r="BT36" s="81"/>
      <c r="BU36" s="81" t="s">
        <v>112</v>
      </c>
      <c r="BV36" s="81">
        <v>60</v>
      </c>
      <c r="BW36" s="84">
        <v>4.07</v>
      </c>
      <c r="BX36" s="84">
        <v>4.5199999999999996</v>
      </c>
      <c r="BY36" s="84">
        <v>5.15</v>
      </c>
      <c r="BZ36" s="84">
        <f t="shared" ref="BZ36:BZ37" si="44">BY36*4+BX36*9+BW36*4</f>
        <v>77.56</v>
      </c>
      <c r="CA36" s="84">
        <v>0.23</v>
      </c>
      <c r="CB36" s="171"/>
      <c r="CC36" s="86"/>
      <c r="CD36" s="81"/>
      <c r="CE36" s="113" t="s">
        <v>148</v>
      </c>
      <c r="CF36" s="81">
        <v>60</v>
      </c>
      <c r="CG36" s="84">
        <f>10.14*80/120</f>
        <v>6.7600000000000007</v>
      </c>
      <c r="CH36" s="84">
        <f>11.04*80/120</f>
        <v>7.3599999999999994</v>
      </c>
      <c r="CI36" s="84">
        <f>9.3*80/120</f>
        <v>6.2</v>
      </c>
      <c r="CJ36" s="84">
        <f t="shared" ref="CJ36:CJ40" si="45">CI36*4+CH36*9+CG36*4</f>
        <v>118.08</v>
      </c>
      <c r="CK36" s="84"/>
      <c r="CL36" s="171"/>
      <c r="CN36" s="81"/>
      <c r="CO36" s="81" t="s">
        <v>107</v>
      </c>
      <c r="CP36" s="81">
        <v>80</v>
      </c>
      <c r="CQ36" s="84">
        <v>10.91</v>
      </c>
      <c r="CR36" s="84">
        <v>3.34</v>
      </c>
      <c r="CS36" s="84">
        <v>4.5</v>
      </c>
      <c r="CT36" s="84">
        <f t="shared" ref="CT36:CT38" si="46">CS36*4+CR36*9+CQ36*4</f>
        <v>91.7</v>
      </c>
      <c r="CU36" s="84">
        <v>0.28999999999999998</v>
      </c>
      <c r="CV36" s="171"/>
    </row>
    <row r="37" spans="1:162" x14ac:dyDescent="0.35">
      <c r="B37" s="85">
        <v>392</v>
      </c>
      <c r="C37" s="85" t="s">
        <v>234</v>
      </c>
      <c r="D37" s="81">
        <v>150</v>
      </c>
      <c r="E37" s="84">
        <v>0.04</v>
      </c>
      <c r="F37" s="84">
        <v>0.01</v>
      </c>
      <c r="G37" s="84">
        <v>6.99</v>
      </c>
      <c r="H37" s="84">
        <f t="shared" si="41"/>
        <v>28.21</v>
      </c>
      <c r="I37" s="84"/>
      <c r="J37" s="171"/>
      <c r="L37" s="81">
        <v>330</v>
      </c>
      <c r="M37" s="81" t="s">
        <v>109</v>
      </c>
      <c r="N37" s="81">
        <v>120</v>
      </c>
      <c r="O37" s="84">
        <f>23.88*120/1000</f>
        <v>2.8655999999999997</v>
      </c>
      <c r="P37" s="84">
        <f>29.37*120/1000</f>
        <v>3.5244</v>
      </c>
      <c r="Q37" s="84">
        <f>110.4*120/1000</f>
        <v>13.247999999999999</v>
      </c>
      <c r="R37" s="84">
        <f t="shared" si="42"/>
        <v>96.174000000000007</v>
      </c>
      <c r="S37" s="84">
        <f>179.14*120/1000</f>
        <v>21.4968</v>
      </c>
      <c r="T37" s="171"/>
      <c r="V37" s="85">
        <v>319</v>
      </c>
      <c r="W37" s="85" t="s">
        <v>85</v>
      </c>
      <c r="X37" s="85">
        <v>120</v>
      </c>
      <c r="Y37" s="84">
        <f>23.42*120/1000</f>
        <v>2.8104</v>
      </c>
      <c r="Z37" s="84">
        <f>24.86*120/1000</f>
        <v>2.9831999999999996</v>
      </c>
      <c r="AA37" s="147">
        <v>15.72</v>
      </c>
      <c r="AB37" s="147">
        <v>101.28</v>
      </c>
      <c r="AC37" s="84">
        <f>107.73*120/1000</f>
        <v>12.9276</v>
      </c>
      <c r="AD37" s="171"/>
      <c r="AF37" s="81"/>
      <c r="AG37" s="81" t="s">
        <v>238</v>
      </c>
      <c r="AH37" s="81">
        <v>15</v>
      </c>
      <c r="AI37" s="84">
        <v>7.0000000000000007E-2</v>
      </c>
      <c r="AJ37" s="84">
        <v>0.01</v>
      </c>
      <c r="AK37" s="84">
        <v>9.6999999999999993</v>
      </c>
      <c r="AL37" s="147">
        <v>39.07</v>
      </c>
      <c r="AM37" s="147">
        <v>0.31</v>
      </c>
      <c r="AN37" s="171"/>
      <c r="AP37" s="81"/>
      <c r="AQ37" s="81" t="s">
        <v>87</v>
      </c>
      <c r="AR37" s="81">
        <v>5</v>
      </c>
      <c r="AS37" s="84">
        <v>0.125</v>
      </c>
      <c r="AT37" s="84">
        <v>1</v>
      </c>
      <c r="AU37" s="84">
        <v>0.16</v>
      </c>
      <c r="AV37" s="84">
        <f t="shared" ref="AV37:AV40" si="47">AU37*4+AT37*9+AS37*4</f>
        <v>10.14</v>
      </c>
      <c r="AW37" s="84"/>
      <c r="AX37" s="171"/>
      <c r="AZ37" s="81">
        <v>321</v>
      </c>
      <c r="BA37" s="81" t="s">
        <v>38</v>
      </c>
      <c r="BB37" s="81">
        <v>120</v>
      </c>
      <c r="BC37" s="84">
        <v>2.4500000000000002</v>
      </c>
      <c r="BD37" s="84">
        <v>3.84</v>
      </c>
      <c r="BE37" s="84">
        <v>16.350000000000001</v>
      </c>
      <c r="BF37" s="84">
        <v>109.78</v>
      </c>
      <c r="BG37" s="84">
        <v>14.53</v>
      </c>
      <c r="BH37" s="171"/>
      <c r="BJ37" s="86">
        <v>362</v>
      </c>
      <c r="BK37" s="86" t="s">
        <v>189</v>
      </c>
      <c r="BL37" s="86">
        <v>15</v>
      </c>
      <c r="BM37" s="122">
        <v>7.0000000000000007E-2</v>
      </c>
      <c r="BN37" s="122">
        <v>0.01</v>
      </c>
      <c r="BO37" s="122">
        <v>9.6999999999999993</v>
      </c>
      <c r="BP37" s="122">
        <v>31.07</v>
      </c>
      <c r="BQ37" s="122">
        <v>0.31</v>
      </c>
      <c r="BR37" s="171"/>
      <c r="BT37" s="81">
        <v>320</v>
      </c>
      <c r="BU37" s="81" t="s">
        <v>135</v>
      </c>
      <c r="BV37" s="81">
        <v>100</v>
      </c>
      <c r="BW37" s="84">
        <v>1.3140000000000001</v>
      </c>
      <c r="BX37" s="84">
        <v>2.59</v>
      </c>
      <c r="BY37" s="84">
        <v>5.1769999999999996</v>
      </c>
      <c r="BZ37" s="84">
        <f t="shared" si="44"/>
        <v>49.274000000000001</v>
      </c>
      <c r="CA37" s="84">
        <v>3.68</v>
      </c>
      <c r="CB37" s="171"/>
      <c r="CD37" s="85">
        <v>314</v>
      </c>
      <c r="CE37" s="85" t="s">
        <v>118</v>
      </c>
      <c r="CF37" s="85">
        <v>100</v>
      </c>
      <c r="CG37" s="84">
        <v>2.0299999999999998</v>
      </c>
      <c r="CH37" s="84">
        <v>4</v>
      </c>
      <c r="CI37" s="84">
        <v>17.03</v>
      </c>
      <c r="CJ37" s="84">
        <f t="shared" si="45"/>
        <v>112.24000000000001</v>
      </c>
      <c r="CK37" s="84">
        <v>15.13</v>
      </c>
      <c r="CL37" s="171"/>
      <c r="CN37" s="87">
        <v>334</v>
      </c>
      <c r="CO37" s="81" t="s">
        <v>108</v>
      </c>
      <c r="CP37" s="81">
        <v>120</v>
      </c>
      <c r="CQ37" s="84">
        <f>14.03*120/1000</f>
        <v>1.6836</v>
      </c>
      <c r="CR37" s="84">
        <f>28.13*120/1000</f>
        <v>3.3755999999999999</v>
      </c>
      <c r="CS37" s="84">
        <f>80.4*120/1000</f>
        <v>9.6479999999999997</v>
      </c>
      <c r="CT37" s="84">
        <f t="shared" si="46"/>
        <v>75.706799999999987</v>
      </c>
      <c r="CU37" s="84">
        <f>26.45*120/1000</f>
        <v>3.1739999999999999</v>
      </c>
      <c r="CV37" s="171"/>
    </row>
    <row r="38" spans="1:162" x14ac:dyDescent="0.35">
      <c r="B38" s="85">
        <v>478</v>
      </c>
      <c r="C38" s="86" t="s">
        <v>204</v>
      </c>
      <c r="D38" s="86">
        <v>30</v>
      </c>
      <c r="E38" s="150">
        <v>2.0099999999999998</v>
      </c>
      <c r="F38" s="122">
        <v>2.99</v>
      </c>
      <c r="G38" s="151">
        <v>14.65</v>
      </c>
      <c r="H38" s="123">
        <f t="shared" si="41"/>
        <v>93.550000000000011</v>
      </c>
      <c r="I38" s="122">
        <v>0.03</v>
      </c>
      <c r="J38" s="171"/>
      <c r="L38" s="81">
        <v>401</v>
      </c>
      <c r="M38" s="81" t="s">
        <v>165</v>
      </c>
      <c r="N38" s="81">
        <v>150</v>
      </c>
      <c r="O38" s="84">
        <v>4.3499999999999996</v>
      </c>
      <c r="P38" s="84">
        <v>3.75</v>
      </c>
      <c r="Q38" s="84">
        <v>6</v>
      </c>
      <c r="R38" s="147">
        <v>75.2</v>
      </c>
      <c r="S38" s="84">
        <v>1.05</v>
      </c>
      <c r="T38" s="171"/>
      <c r="V38" s="81">
        <v>460</v>
      </c>
      <c r="W38" s="81" t="s">
        <v>154</v>
      </c>
      <c r="X38" s="81">
        <v>35</v>
      </c>
      <c r="Y38" s="84">
        <v>4.41</v>
      </c>
      <c r="Z38" s="84">
        <v>1.99</v>
      </c>
      <c r="AA38" s="84">
        <v>12.7</v>
      </c>
      <c r="AB38" s="84">
        <v>86.44</v>
      </c>
      <c r="AC38" s="84">
        <v>3.5000000000000003E-2</v>
      </c>
      <c r="AD38" s="171"/>
      <c r="AF38" s="81">
        <v>494</v>
      </c>
      <c r="AG38" s="81" t="s">
        <v>182</v>
      </c>
      <c r="AH38" s="81">
        <v>35</v>
      </c>
      <c r="AI38" s="84">
        <v>4.41</v>
      </c>
      <c r="AJ38" s="84">
        <v>1.99</v>
      </c>
      <c r="AK38" s="84">
        <v>12.7</v>
      </c>
      <c r="AL38" s="147">
        <v>86.44</v>
      </c>
      <c r="AM38" s="84">
        <v>3.5000000000000003E-2</v>
      </c>
      <c r="AN38" s="171"/>
      <c r="AP38" s="85">
        <v>460</v>
      </c>
      <c r="AQ38" s="85" t="s">
        <v>77</v>
      </c>
      <c r="AR38" s="85">
        <v>40</v>
      </c>
      <c r="AS38" s="96">
        <v>2.83</v>
      </c>
      <c r="AT38" s="96">
        <v>5.26</v>
      </c>
      <c r="AU38" s="84">
        <v>22.3</v>
      </c>
      <c r="AV38" s="84">
        <f>AU38*4+AT38*9+AS38*4</f>
        <v>147.85999999999999</v>
      </c>
      <c r="AW38" s="84"/>
      <c r="AX38" s="171"/>
      <c r="AZ38" s="81"/>
      <c r="BA38" s="81" t="s">
        <v>151</v>
      </c>
      <c r="BB38" s="81">
        <v>50</v>
      </c>
      <c r="BC38" s="112">
        <v>3.3</v>
      </c>
      <c r="BD38" s="112">
        <v>0.36</v>
      </c>
      <c r="BE38" s="112">
        <v>16.7</v>
      </c>
      <c r="BF38" s="84">
        <f>BE38*4+BD38*9+BC38*4</f>
        <v>83.24</v>
      </c>
      <c r="BG38" s="84">
        <f>12.78*20/1000</f>
        <v>0.25559999999999999</v>
      </c>
      <c r="BH38" s="171"/>
      <c r="BJ38" s="81">
        <v>400</v>
      </c>
      <c r="BK38" s="81" t="s">
        <v>152</v>
      </c>
      <c r="BL38" s="81">
        <v>180</v>
      </c>
      <c r="BM38" s="84">
        <v>5.48</v>
      </c>
      <c r="BN38" s="84">
        <v>4.88</v>
      </c>
      <c r="BO38" s="84">
        <v>9.07</v>
      </c>
      <c r="BP38" s="84">
        <f>BO38*4+BN38*9+BM38*4</f>
        <v>102.12</v>
      </c>
      <c r="BQ38" s="84">
        <v>2.46</v>
      </c>
      <c r="BR38" s="171"/>
      <c r="BT38" s="81">
        <v>337</v>
      </c>
      <c r="BU38" s="86" t="s">
        <v>198</v>
      </c>
      <c r="BV38" s="86">
        <v>40</v>
      </c>
      <c r="BW38" s="122">
        <v>5.0999999999999996</v>
      </c>
      <c r="BX38" s="122">
        <v>4.5999999999999996</v>
      </c>
      <c r="BY38" s="122">
        <v>0.3</v>
      </c>
      <c r="BZ38" s="84">
        <v>48.6</v>
      </c>
      <c r="CA38" s="122"/>
      <c r="CB38" s="171"/>
      <c r="CD38" s="81">
        <v>458</v>
      </c>
      <c r="CE38" s="81" t="s">
        <v>121</v>
      </c>
      <c r="CF38" s="81">
        <v>35</v>
      </c>
      <c r="CG38" s="84">
        <v>2.23</v>
      </c>
      <c r="CH38" s="84">
        <v>1.49</v>
      </c>
      <c r="CI38" s="84">
        <v>22.06</v>
      </c>
      <c r="CJ38" s="84">
        <f>CI38*4+CH38*9+CG38*4</f>
        <v>110.57</v>
      </c>
      <c r="CK38" s="84">
        <v>0.04</v>
      </c>
      <c r="CL38" s="171"/>
      <c r="CN38" s="81">
        <v>337</v>
      </c>
      <c r="CO38" s="86" t="s">
        <v>198</v>
      </c>
      <c r="CP38" s="86">
        <v>40</v>
      </c>
      <c r="CQ38" s="122">
        <v>5.0999999999999996</v>
      </c>
      <c r="CR38" s="122">
        <v>4.5999999999999996</v>
      </c>
      <c r="CS38" s="122">
        <v>0.3</v>
      </c>
      <c r="CT38" s="84">
        <f t="shared" si="46"/>
        <v>63</v>
      </c>
      <c r="CU38" s="122"/>
      <c r="CV38" s="171"/>
    </row>
    <row r="39" spans="1:162" x14ac:dyDescent="0.35">
      <c r="C39" s="81" t="s">
        <v>33</v>
      </c>
      <c r="D39" s="81">
        <v>20</v>
      </c>
      <c r="E39" s="84">
        <f>20*7.9/100</f>
        <v>1.58</v>
      </c>
      <c r="F39" s="84">
        <f>1*20/100</f>
        <v>0.2</v>
      </c>
      <c r="G39" s="84">
        <f>48.3*20/100</f>
        <v>9.66</v>
      </c>
      <c r="H39" s="84">
        <f t="shared" si="41"/>
        <v>46.76</v>
      </c>
      <c r="I39" s="82"/>
      <c r="J39" s="171"/>
      <c r="L39" s="88">
        <v>491</v>
      </c>
      <c r="M39" s="88" t="s">
        <v>93</v>
      </c>
      <c r="N39" s="88">
        <v>37</v>
      </c>
      <c r="O39" s="147">
        <v>2.15</v>
      </c>
      <c r="P39" s="147">
        <v>6.75</v>
      </c>
      <c r="Q39" s="147">
        <v>18.5</v>
      </c>
      <c r="R39" s="147">
        <v>143.41</v>
      </c>
      <c r="S39" s="84">
        <f>0.11*37/36</f>
        <v>0.11305555555555556</v>
      </c>
      <c r="T39" s="171"/>
      <c r="V39" s="81">
        <v>394</v>
      </c>
      <c r="W39" s="81" t="s">
        <v>225</v>
      </c>
      <c r="X39" s="81">
        <v>160</v>
      </c>
      <c r="Y39" s="84">
        <v>2.67</v>
      </c>
      <c r="Z39" s="84">
        <v>2.34</v>
      </c>
      <c r="AA39" s="84">
        <v>14.31</v>
      </c>
      <c r="AB39" s="147">
        <v>89</v>
      </c>
      <c r="AC39" s="84">
        <v>1.2</v>
      </c>
      <c r="AD39" s="171"/>
      <c r="AF39" s="81">
        <v>397</v>
      </c>
      <c r="AG39" s="85" t="s">
        <v>165</v>
      </c>
      <c r="AH39" s="81">
        <v>180</v>
      </c>
      <c r="AI39" s="84">
        <f>4.35*180/150</f>
        <v>5.2199999999999989</v>
      </c>
      <c r="AJ39" s="84">
        <f>3.75*180/150</f>
        <v>4.5</v>
      </c>
      <c r="AK39" s="84">
        <f>6.3*180/150</f>
        <v>7.56</v>
      </c>
      <c r="AL39" s="84">
        <f>AK39*4+AJ39*9+AI39*4</f>
        <v>91.61999999999999</v>
      </c>
      <c r="AM39" s="84">
        <v>0.45</v>
      </c>
      <c r="AN39" s="171"/>
      <c r="AP39" s="81"/>
      <c r="AQ39" s="81" t="s">
        <v>168</v>
      </c>
      <c r="AR39" s="81">
        <v>180</v>
      </c>
      <c r="AS39" s="84">
        <v>4.58</v>
      </c>
      <c r="AT39" s="84">
        <v>4.08</v>
      </c>
      <c r="AU39" s="147">
        <v>7.6</v>
      </c>
      <c r="AV39" s="147">
        <v>85.36</v>
      </c>
      <c r="AW39" s="84">
        <v>2.0499999999999998</v>
      </c>
      <c r="AX39" s="171"/>
      <c r="AZ39" s="81">
        <v>463</v>
      </c>
      <c r="BA39" s="81" t="s">
        <v>156</v>
      </c>
      <c r="BB39" s="81">
        <v>37</v>
      </c>
      <c r="BC39" s="84">
        <v>4.8899999999999997</v>
      </c>
      <c r="BD39" s="84">
        <v>8.43</v>
      </c>
      <c r="BE39" s="84">
        <v>46.5</v>
      </c>
      <c r="BF39" s="84">
        <f t="shared" si="43"/>
        <v>281.43</v>
      </c>
      <c r="BG39" s="84">
        <v>0.05</v>
      </c>
      <c r="BH39" s="171"/>
      <c r="BJ39" s="81"/>
      <c r="BK39" s="81" t="s">
        <v>33</v>
      </c>
      <c r="BL39" s="81">
        <v>20</v>
      </c>
      <c r="BM39" s="84">
        <f>7.9*20/100</f>
        <v>1.58</v>
      </c>
      <c r="BN39" s="84">
        <f>1*20/100</f>
        <v>0.2</v>
      </c>
      <c r="BO39" s="84">
        <f>48.3*20/100</f>
        <v>9.66</v>
      </c>
      <c r="BP39" s="84">
        <f>BO39*4+BN39*9+BM39*4</f>
        <v>46.76</v>
      </c>
      <c r="BQ39" s="84"/>
      <c r="BR39" s="171"/>
      <c r="BT39" s="81"/>
      <c r="BU39" s="81" t="s">
        <v>117</v>
      </c>
      <c r="BV39" s="81">
        <v>25</v>
      </c>
      <c r="BW39" s="84">
        <v>2.2000000000000002</v>
      </c>
      <c r="BX39" s="84">
        <v>0.81</v>
      </c>
      <c r="BY39" s="84">
        <v>16</v>
      </c>
      <c r="BZ39" s="84">
        <v>79.97</v>
      </c>
      <c r="CA39" s="84"/>
      <c r="CB39" s="171"/>
      <c r="CD39" s="81">
        <v>400</v>
      </c>
      <c r="CE39" s="81" t="s">
        <v>168</v>
      </c>
      <c r="CF39" s="81">
        <v>180</v>
      </c>
      <c r="CG39" s="84">
        <v>4.58</v>
      </c>
      <c r="CH39" s="84">
        <v>4.08</v>
      </c>
      <c r="CI39" s="84">
        <v>7.58</v>
      </c>
      <c r="CJ39" s="84">
        <f t="shared" si="45"/>
        <v>85.359999999999985</v>
      </c>
      <c r="CK39" s="84">
        <v>2.0499999999999998</v>
      </c>
      <c r="CL39" s="171"/>
      <c r="CN39" s="81">
        <v>476</v>
      </c>
      <c r="CO39" s="81" t="s">
        <v>122</v>
      </c>
      <c r="CP39" s="81">
        <v>30</v>
      </c>
      <c r="CQ39" s="84">
        <v>2.4</v>
      </c>
      <c r="CR39" s="84">
        <v>0.84</v>
      </c>
      <c r="CS39" s="84">
        <v>15.12</v>
      </c>
      <c r="CT39" s="84">
        <f>CS39*4+CR39*9+CQ39*4</f>
        <v>77.639999999999986</v>
      </c>
      <c r="CU39" s="84">
        <v>0.1</v>
      </c>
      <c r="CV39" s="171"/>
    </row>
    <row r="40" spans="1:162" x14ac:dyDescent="0.35">
      <c r="C40" s="85" t="s">
        <v>37</v>
      </c>
      <c r="D40" s="85">
        <v>95</v>
      </c>
      <c r="E40" s="84">
        <v>0.38</v>
      </c>
      <c r="F40" s="84">
        <v>0.38</v>
      </c>
      <c r="G40" s="84">
        <v>9.31</v>
      </c>
      <c r="H40" s="84">
        <f t="shared" si="41"/>
        <v>42.180000000000007</v>
      </c>
      <c r="I40" s="84">
        <v>9.5</v>
      </c>
      <c r="J40" s="171"/>
      <c r="L40" s="81"/>
      <c r="M40" s="81" t="s">
        <v>33</v>
      </c>
      <c r="N40" s="91">
        <v>20</v>
      </c>
      <c r="O40" s="84">
        <f>7.9*20/100</f>
        <v>1.58</v>
      </c>
      <c r="P40" s="84">
        <f>1*20/100</f>
        <v>0.2</v>
      </c>
      <c r="Q40" s="84">
        <f>48.3*20/100</f>
        <v>9.66</v>
      </c>
      <c r="R40" s="84">
        <f t="shared" si="42"/>
        <v>46.76</v>
      </c>
      <c r="S40" s="84"/>
      <c r="T40" s="171"/>
      <c r="V40" s="81"/>
      <c r="W40" s="81" t="s">
        <v>33</v>
      </c>
      <c r="X40" s="81">
        <v>20</v>
      </c>
      <c r="Y40" s="84">
        <f>7.9*20/100</f>
        <v>1.58</v>
      </c>
      <c r="Z40" s="84">
        <f>1*20/100</f>
        <v>0.2</v>
      </c>
      <c r="AA40" s="84">
        <f>48.3*20/100</f>
        <v>9.66</v>
      </c>
      <c r="AB40" s="84">
        <f t="shared" ref="AB40:AB41" si="48">AA40*4+Z40*9+Y40*4</f>
        <v>46.76</v>
      </c>
      <c r="AC40" s="84"/>
      <c r="AD40" s="171"/>
      <c r="AF40" s="81"/>
      <c r="AG40" s="81" t="s">
        <v>33</v>
      </c>
      <c r="AH40" s="81">
        <v>20</v>
      </c>
      <c r="AI40" s="84">
        <f>7.9*20/100</f>
        <v>1.58</v>
      </c>
      <c r="AJ40" s="84">
        <f>1*20/100</f>
        <v>0.2</v>
      </c>
      <c r="AK40" s="84">
        <f>48.3*20/100</f>
        <v>9.66</v>
      </c>
      <c r="AL40" s="84">
        <f>AK40*4+AJ40*9+AI40*4</f>
        <v>46.76</v>
      </c>
      <c r="AM40" s="84"/>
      <c r="AN40" s="171"/>
      <c r="AP40" s="81"/>
      <c r="AQ40" s="81" t="s">
        <v>33</v>
      </c>
      <c r="AR40" s="81">
        <v>20</v>
      </c>
      <c r="AS40" s="84">
        <f>7.9*20/100</f>
        <v>1.58</v>
      </c>
      <c r="AT40" s="84">
        <f>1*20/100</f>
        <v>0.2</v>
      </c>
      <c r="AU40" s="84">
        <f>48.3*20/100</f>
        <v>9.66</v>
      </c>
      <c r="AV40" s="84">
        <f t="shared" si="47"/>
        <v>46.76</v>
      </c>
      <c r="AW40" s="84"/>
      <c r="AX40" s="171"/>
      <c r="AZ40" s="81">
        <v>395</v>
      </c>
      <c r="BA40" s="81" t="s">
        <v>157</v>
      </c>
      <c r="BB40" s="81">
        <v>150</v>
      </c>
      <c r="BC40" s="84">
        <v>2.15</v>
      </c>
      <c r="BD40" s="84">
        <v>1.46</v>
      </c>
      <c r="BE40" s="84">
        <v>15.5</v>
      </c>
      <c r="BF40" s="84">
        <f t="shared" si="43"/>
        <v>83.74</v>
      </c>
      <c r="BG40" s="84">
        <v>0.28000000000000003</v>
      </c>
      <c r="BH40" s="171"/>
      <c r="BK40" s="85"/>
      <c r="BL40" s="85"/>
      <c r="BM40" s="84"/>
      <c r="BN40" s="84"/>
      <c r="BO40" s="84"/>
      <c r="BP40" s="84"/>
      <c r="BQ40" s="84"/>
      <c r="BR40" s="171"/>
      <c r="BT40" s="81"/>
      <c r="BU40" s="81" t="s">
        <v>165</v>
      </c>
      <c r="BV40" s="81">
        <v>180</v>
      </c>
      <c r="BW40" s="147">
        <v>5.22</v>
      </c>
      <c r="BX40" s="147">
        <v>4.5</v>
      </c>
      <c r="BY40" s="147">
        <v>7.56</v>
      </c>
      <c r="BZ40" s="147">
        <f>BY40*4+BX40*9+BW40*4</f>
        <v>91.61999999999999</v>
      </c>
      <c r="CA40" s="84">
        <v>0.54</v>
      </c>
      <c r="CB40" s="171"/>
      <c r="CD40" s="81"/>
      <c r="CE40" s="81" t="s">
        <v>33</v>
      </c>
      <c r="CF40" s="81">
        <v>20</v>
      </c>
      <c r="CG40" s="84">
        <f>7.9*20/100</f>
        <v>1.58</v>
      </c>
      <c r="CH40" s="84">
        <f>1*20/100</f>
        <v>0.2</v>
      </c>
      <c r="CI40" s="84">
        <f>48.3*20/100</f>
        <v>9.66</v>
      </c>
      <c r="CJ40" s="84">
        <f t="shared" si="45"/>
        <v>46.76</v>
      </c>
      <c r="CK40" s="84"/>
      <c r="CL40" s="171"/>
      <c r="CN40" s="81">
        <v>400</v>
      </c>
      <c r="CO40" s="81" t="s">
        <v>168</v>
      </c>
      <c r="CP40" s="81">
        <v>150</v>
      </c>
      <c r="CQ40" s="84">
        <v>3.38</v>
      </c>
      <c r="CR40" s="84">
        <v>3.05</v>
      </c>
      <c r="CS40" s="84">
        <v>5.9</v>
      </c>
      <c r="CT40" s="84">
        <f>CS40*4+CR40*9+CQ40*4</f>
        <v>64.569999999999993</v>
      </c>
      <c r="CU40" s="84">
        <v>1.002</v>
      </c>
      <c r="CV40" s="171"/>
    </row>
    <row r="41" spans="1:162" x14ac:dyDescent="0.35">
      <c r="J41" s="171"/>
      <c r="T41" s="171"/>
      <c r="W41" s="81" t="s">
        <v>151</v>
      </c>
      <c r="X41" s="81">
        <v>20</v>
      </c>
      <c r="Y41" s="84">
        <f>6.6*20/100</f>
        <v>1.32</v>
      </c>
      <c r="Z41" s="84">
        <f>1.2*20/100</f>
        <v>0.24</v>
      </c>
      <c r="AA41" s="84">
        <f>33.4*20/100</f>
        <v>6.68</v>
      </c>
      <c r="AB41" s="84">
        <f t="shared" si="48"/>
        <v>34.159999999999997</v>
      </c>
      <c r="AC41" s="84"/>
      <c r="AD41" s="171"/>
      <c r="AN41" s="171"/>
      <c r="AX41" s="171"/>
      <c r="AZ41" s="81"/>
      <c r="BG41" s="84"/>
      <c r="BH41" s="171"/>
      <c r="BR41" s="171"/>
      <c r="BU41" s="81" t="s">
        <v>33</v>
      </c>
      <c r="BV41" s="81">
        <v>20</v>
      </c>
      <c r="BW41" s="84">
        <f>7.9*20/100</f>
        <v>1.58</v>
      </c>
      <c r="BX41" s="84">
        <f>1*20/100</f>
        <v>0.2</v>
      </c>
      <c r="BY41" s="84">
        <f>48.3*20/100</f>
        <v>9.66</v>
      </c>
      <c r="BZ41" s="84">
        <f>BY41*4+BX41*9+BW41*4</f>
        <v>46.76</v>
      </c>
      <c r="CA41" s="84"/>
      <c r="CB41" s="171"/>
      <c r="CL41" s="171"/>
      <c r="CN41" s="81"/>
      <c r="CO41" s="81" t="s">
        <v>151</v>
      </c>
      <c r="CP41" s="81">
        <v>20</v>
      </c>
      <c r="CQ41" s="84">
        <f>6.6*20/100</f>
        <v>1.32</v>
      </c>
      <c r="CR41" s="84">
        <f>1.2*20/100</f>
        <v>0.24</v>
      </c>
      <c r="CS41" s="84">
        <f>33.4*20/100</f>
        <v>6.68</v>
      </c>
      <c r="CT41" s="84">
        <f>CS41*4+CR41*9+CQ41*4</f>
        <v>34.159999999999997</v>
      </c>
      <c r="CU41" s="84"/>
      <c r="CV41" s="171"/>
    </row>
    <row r="42" spans="1:162" x14ac:dyDescent="0.35">
      <c r="A42" s="94" t="s">
        <v>32</v>
      </c>
      <c r="B42" s="94"/>
      <c r="C42" s="94"/>
      <c r="D42" s="94">
        <f>SUM(D35:D40)</f>
        <v>495</v>
      </c>
      <c r="E42" s="94">
        <f>SUM(E35:E39)</f>
        <v>22.349999999999994</v>
      </c>
      <c r="F42" s="94">
        <f>SUM(F35:F39)</f>
        <v>19.349999999999998</v>
      </c>
      <c r="G42" s="94">
        <f>SUM(G35:G39)</f>
        <v>58.8</v>
      </c>
      <c r="H42" s="94">
        <f>SUM(H35:H39)</f>
        <v>496.87</v>
      </c>
      <c r="I42" s="97">
        <f>SUM(I35:I40)</f>
        <v>9.5299999999999994</v>
      </c>
      <c r="J42" s="171"/>
      <c r="K42" s="94" t="s">
        <v>32</v>
      </c>
      <c r="L42" s="94"/>
      <c r="M42" s="94"/>
      <c r="N42" s="97">
        <f>SUM(N35:N41)</f>
        <v>447</v>
      </c>
      <c r="O42" s="97">
        <f t="shared" ref="O42:S42" si="49">SUM(O35:O41)</f>
        <v>25.875599999999999</v>
      </c>
      <c r="P42" s="97">
        <f t="shared" si="49"/>
        <v>23.094399999999997</v>
      </c>
      <c r="Q42" s="97">
        <f t="shared" si="49"/>
        <v>51.158000000000001</v>
      </c>
      <c r="R42" s="97">
        <f t="shared" si="49"/>
        <v>501.69399999999996</v>
      </c>
      <c r="S42" s="97">
        <f t="shared" si="49"/>
        <v>24.269855555555555</v>
      </c>
      <c r="T42" s="171"/>
      <c r="U42" s="94" t="s">
        <v>32</v>
      </c>
      <c r="V42" s="94"/>
      <c r="W42" s="94"/>
      <c r="X42" s="94">
        <f>SUM(X35:X41)</f>
        <v>455</v>
      </c>
      <c r="Y42" s="94">
        <f>SUM(Y35:Y41)</f>
        <v>20.490400000000001</v>
      </c>
      <c r="Z42" s="94">
        <f>SUM(Z35:Z41)</f>
        <v>12.193199999999999</v>
      </c>
      <c r="AA42" s="94">
        <f>SUM(AA35:AA41)</f>
        <v>69.19</v>
      </c>
      <c r="AB42" s="94">
        <f>SUM(AB35:AB41)</f>
        <v>469.03</v>
      </c>
      <c r="AC42" s="94">
        <f t="shared" ref="AC42" si="50">SUM(AC35:AC41)</f>
        <v>16.002600000000001</v>
      </c>
      <c r="AD42" s="171"/>
      <c r="AE42" s="94" t="s">
        <v>32</v>
      </c>
      <c r="AF42" s="94"/>
      <c r="AG42" s="94"/>
      <c r="AH42" s="97">
        <f>SUM(AH35:AH40)</f>
        <v>450</v>
      </c>
      <c r="AI42" s="97">
        <f>SUM(AI36:AI41)</f>
        <v>26.591999999999999</v>
      </c>
      <c r="AJ42" s="97">
        <f>SUM(AJ36:AJ41)</f>
        <v>20.236000000000001</v>
      </c>
      <c r="AK42" s="97">
        <f>SUM(AK36:AK41)</f>
        <v>64.739999999999995</v>
      </c>
      <c r="AL42" s="97">
        <f>SUM(AL36:AL41)</f>
        <v>547.44200000000001</v>
      </c>
      <c r="AM42" s="97">
        <f>SUM(AM36:AM41)</f>
        <v>4.08</v>
      </c>
      <c r="AN42" s="171"/>
      <c r="AO42" s="94" t="s">
        <v>32</v>
      </c>
      <c r="AP42" s="94"/>
      <c r="AQ42" s="94"/>
      <c r="AR42" s="97">
        <f t="shared" ref="AR42:AW42" si="51">SUM(AR35:AR40)</f>
        <v>405</v>
      </c>
      <c r="AS42" s="97">
        <f t="shared" si="51"/>
        <v>19.085000000000001</v>
      </c>
      <c r="AT42" s="97">
        <f t="shared" si="51"/>
        <v>194.78</v>
      </c>
      <c r="AU42" s="97">
        <f t="shared" si="51"/>
        <v>63.269999999999996</v>
      </c>
      <c r="AV42" s="97">
        <f t="shared" si="51"/>
        <v>505.17999999999995</v>
      </c>
      <c r="AW42" s="97">
        <f t="shared" si="51"/>
        <v>6.9459999999999997</v>
      </c>
      <c r="AX42" s="171"/>
      <c r="AY42" s="94" t="s">
        <v>32</v>
      </c>
      <c r="AZ42" s="94"/>
      <c r="BA42" s="94"/>
      <c r="BB42" s="97">
        <f>SUM(BB35:BB40)</f>
        <v>457</v>
      </c>
      <c r="BC42" s="97">
        <f t="shared" ref="BC42:BG42" si="52">SUM(BC35:BC40)</f>
        <v>24.2212</v>
      </c>
      <c r="BD42" s="97">
        <f t="shared" si="52"/>
        <v>17.350000000000001</v>
      </c>
      <c r="BE42" s="97">
        <f t="shared" si="52"/>
        <v>100.85</v>
      </c>
      <c r="BF42" s="97">
        <f t="shared" si="52"/>
        <v>656.61</v>
      </c>
      <c r="BG42" s="97">
        <f t="shared" si="52"/>
        <v>18.105600000000003</v>
      </c>
      <c r="BH42" s="171"/>
      <c r="BI42" s="94" t="s">
        <v>32</v>
      </c>
      <c r="BJ42" s="94"/>
      <c r="BK42" s="94"/>
      <c r="BL42" s="97">
        <f>SUM(BL35:BL40)</f>
        <v>385</v>
      </c>
      <c r="BM42" s="97">
        <f>SUM(BM36:BM41)</f>
        <v>26.810000000000002</v>
      </c>
      <c r="BN42" s="97">
        <f>SUM(BN36:BN41)</f>
        <v>5.09</v>
      </c>
      <c r="BO42" s="97">
        <f>SUM(BO36:BO41)</f>
        <v>60.06</v>
      </c>
      <c r="BP42" s="97">
        <f>SUM(BP36:BP41)</f>
        <v>511.09</v>
      </c>
      <c r="BQ42" s="97">
        <f>SUM(BQ36:BQ41)</f>
        <v>3.11</v>
      </c>
      <c r="BR42" s="171"/>
      <c r="BS42" s="94" t="s">
        <v>32</v>
      </c>
      <c r="BT42" s="94"/>
      <c r="BU42" s="94"/>
      <c r="BV42" s="94">
        <f t="shared" ref="BV42:CA42" si="53">SUM(BV35:BV41)</f>
        <v>465</v>
      </c>
      <c r="BW42" s="97">
        <f t="shared" si="53"/>
        <v>20.634</v>
      </c>
      <c r="BX42" s="97">
        <f t="shared" si="53"/>
        <v>19.690000000000001</v>
      </c>
      <c r="BY42" s="97">
        <f t="shared" si="53"/>
        <v>47.057000000000002</v>
      </c>
      <c r="BZ42" s="97">
        <f t="shared" si="53"/>
        <v>433.45400000000001</v>
      </c>
      <c r="CA42" s="97">
        <f t="shared" si="53"/>
        <v>8.1700000000000017</v>
      </c>
      <c r="CB42" s="171"/>
      <c r="CC42" s="94" t="s">
        <v>32</v>
      </c>
      <c r="CD42" s="94"/>
      <c r="CE42" s="94"/>
      <c r="CF42" s="97">
        <f>SUM(CF35:CF41)</f>
        <v>425</v>
      </c>
      <c r="CG42" s="97">
        <f>SUM(CG35:CG40)</f>
        <v>17.844999999999999</v>
      </c>
      <c r="CH42" s="97">
        <f>SUM(CH35:CH40)</f>
        <v>17.13</v>
      </c>
      <c r="CI42" s="97">
        <f>SUM(CI35:CI40)</f>
        <v>69.391999999999996</v>
      </c>
      <c r="CJ42" s="97">
        <f>SUM(CJ35:CJ40)</f>
        <v>503.11799999999994</v>
      </c>
      <c r="CK42" s="97">
        <f>SUM(CK35:CK40)</f>
        <v>17.22</v>
      </c>
      <c r="CL42" s="171"/>
      <c r="CM42" s="94" t="s">
        <v>32</v>
      </c>
      <c r="CN42" s="94"/>
      <c r="CO42" s="94"/>
      <c r="CP42" s="97">
        <f>SUM(CP35:CP41)</f>
        <v>480</v>
      </c>
      <c r="CQ42" s="97">
        <f>SUM(AI36:AI40)</f>
        <v>26.591999999999999</v>
      </c>
      <c r="CR42" s="97">
        <f>SUM(AJ36:AJ40)</f>
        <v>20.236000000000001</v>
      </c>
      <c r="CS42" s="97">
        <f>SUM(AK36:AK40)</f>
        <v>64.739999999999995</v>
      </c>
      <c r="CT42" s="97">
        <f>SUM(AL36:AL40)</f>
        <v>547.44200000000001</v>
      </c>
      <c r="CU42" s="97">
        <f>SUM(AM36:AM40)</f>
        <v>4.08</v>
      </c>
      <c r="CV42" s="171"/>
    </row>
    <row r="43" spans="1:162" x14ac:dyDescent="0.35">
      <c r="A43" s="94" t="s">
        <v>30</v>
      </c>
      <c r="B43" s="94"/>
      <c r="C43" s="94"/>
      <c r="D43" s="94" t="s">
        <v>125</v>
      </c>
      <c r="E43" s="97">
        <v>14.7</v>
      </c>
      <c r="F43" s="97">
        <v>16.45</v>
      </c>
      <c r="G43" s="97">
        <v>71.05</v>
      </c>
      <c r="H43" s="97">
        <v>490</v>
      </c>
      <c r="I43" s="97"/>
      <c r="J43" s="171"/>
      <c r="K43" s="94" t="s">
        <v>30</v>
      </c>
      <c r="L43" s="94"/>
      <c r="M43" s="94"/>
      <c r="N43" s="94" t="s">
        <v>125</v>
      </c>
      <c r="O43" s="97">
        <v>14.7</v>
      </c>
      <c r="P43" s="97">
        <v>16.45</v>
      </c>
      <c r="Q43" s="97">
        <v>71.05</v>
      </c>
      <c r="R43" s="97">
        <v>490</v>
      </c>
      <c r="S43" s="97"/>
      <c r="T43" s="171"/>
      <c r="U43" s="94" t="s">
        <v>30</v>
      </c>
      <c r="V43" s="94"/>
      <c r="W43" s="94"/>
      <c r="X43" s="94" t="s">
        <v>125</v>
      </c>
      <c r="Y43" s="97">
        <v>14.7</v>
      </c>
      <c r="Z43" s="97">
        <v>16.45</v>
      </c>
      <c r="AA43" s="97">
        <v>71.05</v>
      </c>
      <c r="AB43" s="97">
        <v>490</v>
      </c>
      <c r="AC43" s="97"/>
      <c r="AD43" s="171"/>
      <c r="AE43" s="94" t="s">
        <v>30</v>
      </c>
      <c r="AF43" s="94"/>
      <c r="AG43" s="94"/>
      <c r="AH43" s="94" t="s">
        <v>125</v>
      </c>
      <c r="AI43" s="97">
        <v>14.7</v>
      </c>
      <c r="AJ43" s="97">
        <v>16.45</v>
      </c>
      <c r="AK43" s="97">
        <v>71.05</v>
      </c>
      <c r="AL43" s="97">
        <v>490</v>
      </c>
      <c r="AM43" s="97"/>
      <c r="AN43" s="171"/>
      <c r="AO43" s="94" t="s">
        <v>30</v>
      </c>
      <c r="AP43" s="94"/>
      <c r="AQ43" s="94"/>
      <c r="AR43" s="94" t="s">
        <v>125</v>
      </c>
      <c r="AS43" s="97">
        <v>14.7</v>
      </c>
      <c r="AT43" s="97">
        <v>16.45</v>
      </c>
      <c r="AU43" s="97">
        <v>71.05</v>
      </c>
      <c r="AV43" s="97">
        <v>490</v>
      </c>
      <c r="AW43" s="97"/>
      <c r="AX43" s="171"/>
      <c r="AY43" s="94" t="s">
        <v>30</v>
      </c>
      <c r="AZ43" s="94"/>
      <c r="BA43" s="94"/>
      <c r="BB43" s="94" t="s">
        <v>125</v>
      </c>
      <c r="BC43" s="97">
        <v>14.7</v>
      </c>
      <c r="BD43" s="97">
        <v>16.45</v>
      </c>
      <c r="BE43" s="97">
        <v>71.05</v>
      </c>
      <c r="BF43" s="97">
        <v>490</v>
      </c>
      <c r="BG43" s="97"/>
      <c r="BH43" s="171"/>
      <c r="BI43" s="94" t="s">
        <v>30</v>
      </c>
      <c r="BJ43" s="94"/>
      <c r="BK43" s="94"/>
      <c r="BL43" s="94" t="s">
        <v>125</v>
      </c>
      <c r="BM43" s="97">
        <v>14.7</v>
      </c>
      <c r="BN43" s="97">
        <v>16.45</v>
      </c>
      <c r="BO43" s="97">
        <v>71.05</v>
      </c>
      <c r="BP43" s="97">
        <v>490</v>
      </c>
      <c r="BQ43" s="97"/>
      <c r="BR43" s="171"/>
      <c r="BS43" s="94" t="s">
        <v>30</v>
      </c>
      <c r="BT43" s="94"/>
      <c r="BU43" s="94"/>
      <c r="BV43" s="94" t="s">
        <v>125</v>
      </c>
      <c r="BW43" s="97">
        <v>14.7</v>
      </c>
      <c r="BX43" s="97">
        <v>16.45</v>
      </c>
      <c r="BY43" s="97">
        <v>71.05</v>
      </c>
      <c r="BZ43" s="97">
        <v>490</v>
      </c>
      <c r="CA43" s="97"/>
      <c r="CB43" s="171"/>
      <c r="CC43" s="94" t="s">
        <v>30</v>
      </c>
      <c r="CD43" s="94"/>
      <c r="CE43" s="94"/>
      <c r="CF43" s="94" t="s">
        <v>125</v>
      </c>
      <c r="CG43" s="97">
        <v>14.7</v>
      </c>
      <c r="CH43" s="97">
        <v>16.45</v>
      </c>
      <c r="CI43" s="97">
        <v>71.05</v>
      </c>
      <c r="CJ43" s="97">
        <v>490</v>
      </c>
      <c r="CK43" s="97"/>
      <c r="CL43" s="171"/>
      <c r="CM43" s="94" t="s">
        <v>30</v>
      </c>
      <c r="CN43" s="94"/>
      <c r="CO43" s="94"/>
      <c r="CP43" s="94" t="s">
        <v>125</v>
      </c>
      <c r="CQ43" s="97">
        <v>14.7</v>
      </c>
      <c r="CR43" s="97">
        <v>16.45</v>
      </c>
      <c r="CS43" s="97">
        <v>71.05</v>
      </c>
      <c r="CT43" s="97">
        <v>490</v>
      </c>
      <c r="CU43" s="97"/>
      <c r="CV43" s="171"/>
    </row>
    <row r="44" spans="1:162" x14ac:dyDescent="0.35">
      <c r="J44" s="171"/>
      <c r="Q44" s="92"/>
      <c r="R44" s="92"/>
      <c r="T44" s="171"/>
      <c r="AA44" s="92"/>
      <c r="AB44" s="92"/>
      <c r="AD44" s="171"/>
      <c r="AK44" s="92"/>
      <c r="AL44" s="92"/>
      <c r="AN44" s="171"/>
      <c r="AU44" s="92"/>
      <c r="AV44" s="92"/>
      <c r="AX44" s="171"/>
      <c r="BH44" s="171"/>
      <c r="BR44" s="171"/>
      <c r="BY44" s="92"/>
      <c r="BZ44" s="92"/>
      <c r="CB44" s="171"/>
      <c r="CI44" s="92"/>
      <c r="CJ44" s="92"/>
      <c r="CL44" s="171"/>
      <c r="CS44" s="92"/>
      <c r="CT44" s="92"/>
      <c r="CV44" s="171"/>
    </row>
    <row r="45" spans="1:162" s="80" customFormat="1" x14ac:dyDescent="0.35">
      <c r="A45" s="114" t="s">
        <v>34</v>
      </c>
      <c r="B45" s="114"/>
      <c r="C45" s="114"/>
      <c r="D45" s="114"/>
      <c r="E45" s="115">
        <f>E42+E31+E19+E12</f>
        <v>85.544399999999996</v>
      </c>
      <c r="F45" s="115">
        <f>F42+F31+F19+F12</f>
        <v>75.457999999999998</v>
      </c>
      <c r="G45" s="115">
        <f>G42+G31+G19+G12</f>
        <v>201.14839999999998</v>
      </c>
      <c r="H45" s="115">
        <f>H42+H31+H19+H12</f>
        <v>1828.1831999999999</v>
      </c>
      <c r="I45" s="115">
        <f>I42+I31+I19+I12</f>
        <v>28.830000000000002</v>
      </c>
      <c r="J45" s="171"/>
      <c r="K45" s="114" t="s">
        <v>34</v>
      </c>
      <c r="L45" s="114"/>
      <c r="M45" s="114"/>
      <c r="N45" s="114"/>
      <c r="O45" s="115">
        <f>O42+O31+O19+O12</f>
        <v>90.001636363636351</v>
      </c>
      <c r="P45" s="115">
        <f>P42+P31+P19+P12</f>
        <v>81.360654545454537</v>
      </c>
      <c r="Q45" s="115">
        <f>Q42+Q31+Q19+Q12</f>
        <v>251.80069090909092</v>
      </c>
      <c r="R45" s="115">
        <f>R42+R31+R19+R12</f>
        <v>1714.8552</v>
      </c>
      <c r="S45" s="115">
        <f>S42+S31+S19+S12</f>
        <v>56.19898282828283</v>
      </c>
      <c r="T45" s="171"/>
      <c r="U45" s="114" t="s">
        <v>34</v>
      </c>
      <c r="V45" s="114"/>
      <c r="W45" s="114"/>
      <c r="X45" s="114"/>
      <c r="Y45" s="115">
        <f>Y42+Y31+Y19+Y12</f>
        <v>65.264949999999999</v>
      </c>
      <c r="Z45" s="115">
        <f>Z42+Z31+Z19+Z12</f>
        <v>58.835250000000002</v>
      </c>
      <c r="AA45" s="115">
        <f>AA42+AA31+AA19+AA12</f>
        <v>229.70190000000002</v>
      </c>
      <c r="AB45" s="115">
        <f>AB42+AB31+AB19+AB12</f>
        <v>1708.71425</v>
      </c>
      <c r="AC45" s="115">
        <f>AC42+AC31+AC19+AC12</f>
        <v>53.901400000000002</v>
      </c>
      <c r="AD45" s="171"/>
      <c r="AE45" s="114" t="s">
        <v>34</v>
      </c>
      <c r="AF45" s="114"/>
      <c r="AG45" s="114"/>
      <c r="AH45" s="114"/>
      <c r="AI45" s="115">
        <f>AI42+AI31+AI19+AI12</f>
        <v>59.909400000000005</v>
      </c>
      <c r="AJ45" s="115">
        <f t="shared" ref="AJ45:AM45" si="54">AJ42+AJ31+AJ19+AJ12</f>
        <v>49.609200000000001</v>
      </c>
      <c r="AK45" s="115">
        <f t="shared" si="54"/>
        <v>195.59</v>
      </c>
      <c r="AL45" s="115">
        <f t="shared" si="54"/>
        <v>1449.5408000000002</v>
      </c>
      <c r="AM45" s="115">
        <f t="shared" si="54"/>
        <v>24.628399999999999</v>
      </c>
      <c r="AN45" s="171"/>
      <c r="AO45" s="114" t="s">
        <v>34</v>
      </c>
      <c r="AP45" s="114"/>
      <c r="AQ45" s="114"/>
      <c r="AR45" s="114"/>
      <c r="AS45" s="115">
        <f>AS42+AS31+AS19+AS12</f>
        <v>54.585000000000001</v>
      </c>
      <c r="AT45" s="115">
        <f t="shared" ref="AT45:AW45" si="55">AT42+AT31+AT19+AT12</f>
        <v>225.166</v>
      </c>
      <c r="AU45" s="115">
        <f t="shared" si="55"/>
        <v>196.94599999999997</v>
      </c>
      <c r="AV45" s="115">
        <f t="shared" si="55"/>
        <v>1394.35</v>
      </c>
      <c r="AW45" s="115">
        <f t="shared" si="55"/>
        <v>29.135999999999999</v>
      </c>
      <c r="AX45" s="171"/>
      <c r="AY45" s="114" t="s">
        <v>34</v>
      </c>
      <c r="AZ45" s="114"/>
      <c r="BA45" s="114"/>
      <c r="BB45" s="114"/>
      <c r="BC45" s="115">
        <f>BC42+BC31+BC19+BC12</f>
        <v>57.355199999999996</v>
      </c>
      <c r="BD45" s="115">
        <f t="shared" ref="BD45:BF45" si="56">BD42+BD31+BD19+BD12</f>
        <v>45.7545</v>
      </c>
      <c r="BE45" s="115">
        <f t="shared" si="56"/>
        <v>249.45949999999999</v>
      </c>
      <c r="BF45" s="115">
        <f t="shared" si="56"/>
        <v>1640.2584999999999</v>
      </c>
      <c r="BG45" s="115"/>
      <c r="BH45" s="171"/>
      <c r="BI45" s="114" t="s">
        <v>34</v>
      </c>
      <c r="BJ45" s="114"/>
      <c r="BK45" s="114"/>
      <c r="BL45" s="114"/>
      <c r="BM45" s="115">
        <f>BM42+BM31+BM19+BM12</f>
        <v>64.977333333333334</v>
      </c>
      <c r="BN45" s="115">
        <f t="shared" ref="BN45:BP45" si="57">BN42+BN31+BN19+BN12</f>
        <v>26.783333333333339</v>
      </c>
      <c r="BO45" s="115">
        <f t="shared" si="57"/>
        <v>212.61366666666669</v>
      </c>
      <c r="BP45" s="115">
        <f t="shared" si="57"/>
        <v>1469.2139999999999</v>
      </c>
      <c r="BQ45" s="115"/>
      <c r="BR45" s="171"/>
      <c r="BS45" s="114" t="s">
        <v>34</v>
      </c>
      <c r="BT45" s="114"/>
      <c r="BU45" s="114"/>
      <c r="BV45" s="114"/>
      <c r="BW45" s="115">
        <f>BW42+BW31+BW19+BW12</f>
        <v>52.488</v>
      </c>
      <c r="BX45" s="115">
        <f>BX42+BX31+BX19+BX12</f>
        <v>42.709000000000003</v>
      </c>
      <c r="BY45" s="115">
        <f>BY42+BY31+BY19+BY12</f>
        <v>198.33949999999999</v>
      </c>
      <c r="BZ45" s="115">
        <f>BZ42+BZ31+BZ19+BZ12</f>
        <v>1372.931</v>
      </c>
      <c r="CA45" s="115">
        <f>CA42+CA31+CA19+CA12</f>
        <v>41.058500000000002</v>
      </c>
      <c r="CB45" s="171"/>
      <c r="CC45" s="114" t="s">
        <v>34</v>
      </c>
      <c r="CD45" s="114"/>
      <c r="CE45" s="114"/>
      <c r="CF45" s="114"/>
      <c r="CG45" s="115">
        <f>CG42+CG31+CG19+CG12</f>
        <v>55.547276923076915</v>
      </c>
      <c r="CH45" s="115">
        <f>CH42+CH31+CH19+CH12</f>
        <v>56.621815384615388</v>
      </c>
      <c r="CI45" s="115">
        <f>CI42+CI31+CI19+CI12</f>
        <v>218.47118461538457</v>
      </c>
      <c r="CJ45" s="115">
        <f>CJ42+CJ31+CJ19+CJ12</f>
        <v>1605.6701846153846</v>
      </c>
      <c r="CK45" s="115">
        <f>CK42+CK31+CK19+CK12</f>
        <v>82.001599999999996</v>
      </c>
      <c r="CL45" s="171"/>
      <c r="CM45" s="114" t="s">
        <v>34</v>
      </c>
      <c r="CN45" s="114"/>
      <c r="CO45" s="114"/>
      <c r="CP45" s="114"/>
      <c r="CQ45" s="115">
        <f>CQ42+CQ31+CQ19+CQ12</f>
        <v>63.085199999999993</v>
      </c>
      <c r="CR45" s="115">
        <f>CR42+CR31+CR19+CR12</f>
        <v>53.398000000000003</v>
      </c>
      <c r="CS45" s="115">
        <f>CS42+CS31+CS19+CS12</f>
        <v>223.25580000000002</v>
      </c>
      <c r="CT45" s="115">
        <f>CT42+CT31+CT19+CT12</f>
        <v>1625.9359999999999</v>
      </c>
      <c r="CU45" s="115">
        <f>CU42+CU31+CU19+CU12</f>
        <v>48.950863636363636</v>
      </c>
      <c r="CV45" s="171"/>
      <c r="CW45" s="100"/>
      <c r="CX45" s="100"/>
      <c r="CY45" s="100"/>
      <c r="CZ45" s="100"/>
      <c r="DA45" s="100"/>
      <c r="DB45" s="100"/>
      <c r="DC45" s="100"/>
      <c r="DD45" s="100"/>
      <c r="DE45" s="100"/>
      <c r="DF45" s="100"/>
      <c r="DG45" s="100"/>
      <c r="DH45" s="100"/>
      <c r="DI45" s="100"/>
      <c r="DJ45" s="100"/>
      <c r="DK45" s="100"/>
      <c r="DL45" s="100"/>
      <c r="DM45" s="100"/>
      <c r="DN45" s="100"/>
      <c r="DO45" s="100"/>
      <c r="DP45" s="100"/>
      <c r="DQ45" s="100"/>
      <c r="DR45" s="100"/>
      <c r="DS45" s="100"/>
      <c r="DT45" s="100"/>
      <c r="DU45" s="100"/>
      <c r="DV45" s="100"/>
      <c r="DW45" s="100"/>
      <c r="DX45" s="100"/>
      <c r="DY45" s="100"/>
      <c r="DZ45" s="100"/>
      <c r="EA45" s="100"/>
      <c r="EB45" s="100"/>
      <c r="EC45" s="100"/>
      <c r="ED45" s="100"/>
      <c r="EE45" s="100"/>
      <c r="EF45" s="100"/>
      <c r="EG45" s="100"/>
      <c r="EH45" s="100"/>
      <c r="EI45" s="100"/>
      <c r="EJ45" s="100"/>
      <c r="EK45" s="100"/>
      <c r="EL45" s="100"/>
      <c r="EM45" s="100"/>
      <c r="EN45" s="100"/>
      <c r="EO45" s="100"/>
      <c r="EP45" s="100"/>
      <c r="EQ45" s="100"/>
      <c r="ER45" s="100"/>
      <c r="ES45" s="100"/>
      <c r="ET45" s="100"/>
      <c r="EU45" s="100"/>
      <c r="EV45" s="100"/>
      <c r="EW45" s="100"/>
      <c r="EX45" s="100"/>
      <c r="EY45" s="100"/>
      <c r="EZ45" s="100"/>
      <c r="FA45" s="100"/>
      <c r="FB45" s="100"/>
      <c r="FC45" s="100"/>
      <c r="FD45" s="100"/>
      <c r="FE45" s="100"/>
      <c r="FF45" s="100"/>
    </row>
    <row r="46" spans="1:162" x14ac:dyDescent="0.35">
      <c r="A46" s="78" t="s">
        <v>30</v>
      </c>
      <c r="B46" s="78"/>
      <c r="C46" s="78"/>
      <c r="D46" s="78"/>
      <c r="E46" s="79">
        <v>42</v>
      </c>
      <c r="F46" s="79">
        <v>47</v>
      </c>
      <c r="G46" s="79">
        <v>203</v>
      </c>
      <c r="H46" s="79">
        <v>1400</v>
      </c>
      <c r="I46" s="79"/>
      <c r="J46" s="171"/>
      <c r="K46" s="78" t="s">
        <v>30</v>
      </c>
      <c r="L46" s="78"/>
      <c r="M46" s="78"/>
      <c r="N46" s="78"/>
      <c r="O46" s="79">
        <v>42</v>
      </c>
      <c r="P46" s="79">
        <v>47</v>
      </c>
      <c r="Q46" s="79">
        <v>203</v>
      </c>
      <c r="R46" s="79">
        <v>1400</v>
      </c>
      <c r="S46" s="79"/>
      <c r="T46" s="171"/>
      <c r="U46" s="78" t="s">
        <v>30</v>
      </c>
      <c r="V46" s="78"/>
      <c r="W46" s="78"/>
      <c r="X46" s="78"/>
      <c r="Y46" s="79">
        <v>42</v>
      </c>
      <c r="Z46" s="79">
        <v>47</v>
      </c>
      <c r="AA46" s="79">
        <v>203</v>
      </c>
      <c r="AB46" s="79">
        <v>1400</v>
      </c>
      <c r="AC46" s="79"/>
      <c r="AD46" s="171"/>
      <c r="AE46" s="78" t="s">
        <v>30</v>
      </c>
      <c r="AF46" s="78"/>
      <c r="AG46" s="78"/>
      <c r="AH46" s="78"/>
      <c r="AI46" s="79">
        <v>42</v>
      </c>
      <c r="AJ46" s="79">
        <v>47</v>
      </c>
      <c r="AK46" s="79">
        <v>203</v>
      </c>
      <c r="AL46" s="79">
        <v>1400</v>
      </c>
      <c r="AM46" s="79"/>
      <c r="AN46" s="171"/>
      <c r="AO46" s="78" t="s">
        <v>30</v>
      </c>
      <c r="AP46" s="78"/>
      <c r="AQ46" s="78"/>
      <c r="AR46" s="78"/>
      <c r="AS46" s="79">
        <v>42</v>
      </c>
      <c r="AT46" s="79">
        <v>47</v>
      </c>
      <c r="AU46" s="79">
        <v>203</v>
      </c>
      <c r="AV46" s="79">
        <v>1400</v>
      </c>
      <c r="AW46" s="79"/>
      <c r="AX46" s="171"/>
      <c r="AY46" s="78" t="s">
        <v>30</v>
      </c>
      <c r="AZ46" s="78"/>
      <c r="BA46" s="78"/>
      <c r="BB46" s="78"/>
      <c r="BC46" s="79">
        <v>42</v>
      </c>
      <c r="BD46" s="79">
        <v>47</v>
      </c>
      <c r="BE46" s="79">
        <v>203</v>
      </c>
      <c r="BF46" s="79">
        <v>1400</v>
      </c>
      <c r="BG46" s="79"/>
      <c r="BH46" s="171"/>
      <c r="BI46" s="78" t="s">
        <v>30</v>
      </c>
      <c r="BJ46" s="78"/>
      <c r="BK46" s="78"/>
      <c r="BL46" s="78"/>
      <c r="BM46" s="79">
        <v>42</v>
      </c>
      <c r="BN46" s="79">
        <v>47</v>
      </c>
      <c r="BO46" s="79">
        <v>203</v>
      </c>
      <c r="BP46" s="79">
        <v>1400</v>
      </c>
      <c r="BQ46" s="79"/>
      <c r="BR46" s="171"/>
      <c r="BS46" s="78" t="s">
        <v>30</v>
      </c>
      <c r="BT46" s="78"/>
      <c r="BU46" s="78"/>
      <c r="BV46" s="78"/>
      <c r="BW46" s="79">
        <v>42</v>
      </c>
      <c r="BX46" s="79">
        <v>47</v>
      </c>
      <c r="BY46" s="79">
        <v>203</v>
      </c>
      <c r="BZ46" s="79">
        <v>1400</v>
      </c>
      <c r="CA46" s="79"/>
      <c r="CB46" s="171"/>
      <c r="CC46" s="78" t="s">
        <v>30</v>
      </c>
      <c r="CD46" s="78"/>
      <c r="CE46" s="78"/>
      <c r="CF46" s="78"/>
      <c r="CG46" s="79">
        <v>42</v>
      </c>
      <c r="CH46" s="79">
        <v>47</v>
      </c>
      <c r="CI46" s="79">
        <v>203</v>
      </c>
      <c r="CJ46" s="79">
        <v>1400</v>
      </c>
      <c r="CK46" s="79"/>
      <c r="CL46" s="171"/>
      <c r="CM46" s="78" t="s">
        <v>30</v>
      </c>
      <c r="CN46" s="78"/>
      <c r="CO46" s="78"/>
      <c r="CP46" s="78"/>
      <c r="CQ46" s="79">
        <v>42</v>
      </c>
      <c r="CR46" s="79">
        <v>47</v>
      </c>
      <c r="CS46" s="79">
        <v>203</v>
      </c>
      <c r="CT46" s="79">
        <v>1400</v>
      </c>
      <c r="CU46" s="79"/>
      <c r="CV46" s="171"/>
    </row>
    <row r="47" spans="1:162" x14ac:dyDescent="0.35">
      <c r="J47" s="171"/>
      <c r="T47" s="171"/>
      <c r="AD47" s="171"/>
      <c r="AI47" s="93"/>
      <c r="AN47" s="171"/>
      <c r="AX47" s="171"/>
      <c r="BH47" s="171"/>
      <c r="BI47" s="116"/>
      <c r="BJ47" s="116"/>
      <c r="BK47" s="116"/>
      <c r="BL47" s="116"/>
      <c r="BM47" s="116"/>
      <c r="BN47" s="116"/>
      <c r="BO47" s="116"/>
      <c r="BP47" s="116"/>
      <c r="BQ47" s="116"/>
      <c r="BR47" s="171"/>
      <c r="CB47" s="171"/>
      <c r="CL47" s="171"/>
      <c r="CV47" s="171"/>
    </row>
    <row r="48" spans="1:162" x14ac:dyDescent="0.35">
      <c r="U48" s="116"/>
      <c r="V48" s="116"/>
      <c r="W48" s="116"/>
      <c r="X48" s="116"/>
      <c r="Y48" s="116"/>
      <c r="Z48" s="116"/>
      <c r="AA48" s="116"/>
      <c r="AB48" s="116"/>
      <c r="AC48" s="116"/>
      <c r="BI48" s="116"/>
      <c r="BJ48" s="116"/>
      <c r="BK48" s="116"/>
      <c r="BL48" s="116"/>
      <c r="BM48" s="116"/>
      <c r="BN48" s="116"/>
      <c r="BO48" s="116"/>
      <c r="BP48" s="116"/>
      <c r="BQ48" s="116"/>
    </row>
    <row r="57" spans="7:8" x14ac:dyDescent="0.35">
      <c r="G57" s="86"/>
      <c r="H57" s="86"/>
    </row>
  </sheetData>
  <mergeCells count="120">
    <mergeCell ref="CV1:CV1048576"/>
    <mergeCell ref="BI4:BQ4"/>
    <mergeCell ref="BI15:BQ15"/>
    <mergeCell ref="BI22:BQ22"/>
    <mergeCell ref="BI34:BQ34"/>
    <mergeCell ref="BS4:CA4"/>
    <mergeCell ref="BS15:CA15"/>
    <mergeCell ref="BS22:CA22"/>
    <mergeCell ref="BS34:CA34"/>
    <mergeCell ref="CM4:CU4"/>
    <mergeCell ref="CM15:CU15"/>
    <mergeCell ref="CM22:CU22"/>
    <mergeCell ref="CM34:CU34"/>
    <mergeCell ref="BI1:BI2"/>
    <mergeCell ref="BJ1:BJ2"/>
    <mergeCell ref="BK1:BK2"/>
    <mergeCell ref="BL1:BL2"/>
    <mergeCell ref="BM1:BO1"/>
    <mergeCell ref="BP1:BP2"/>
    <mergeCell ref="BQ1:BQ2"/>
    <mergeCell ref="BS1:BS2"/>
    <mergeCell ref="BT1:BT2"/>
    <mergeCell ref="BU1:BU2"/>
    <mergeCell ref="BR1:BR1048576"/>
    <mergeCell ref="U15:AC15"/>
    <mergeCell ref="U22:AC22"/>
    <mergeCell ref="U34:AC34"/>
    <mergeCell ref="CC4:CK4"/>
    <mergeCell ref="CC15:CK15"/>
    <mergeCell ref="CC22:CK22"/>
    <mergeCell ref="AX1:AX1048576"/>
    <mergeCell ref="AO4:AW4"/>
    <mergeCell ref="AO15:AW15"/>
    <mergeCell ref="BH1:BH1048576"/>
    <mergeCell ref="AY4:BG4"/>
    <mergeCell ref="AY15:BG15"/>
    <mergeCell ref="AY22:BG22"/>
    <mergeCell ref="AY34:BG34"/>
    <mergeCell ref="AO34:AW34"/>
    <mergeCell ref="AO22:AW22"/>
    <mergeCell ref="AE4:AM4"/>
    <mergeCell ref="AE15:AM15"/>
    <mergeCell ref="AE22:AM22"/>
    <mergeCell ref="AE34:AM34"/>
    <mergeCell ref="AN1:AN1048576"/>
    <mergeCell ref="U4:AC4"/>
    <mergeCell ref="AD1:AD1048576"/>
    <mergeCell ref="CC34:CK34"/>
    <mergeCell ref="K4:S4"/>
    <mergeCell ref="K15:S15"/>
    <mergeCell ref="K22:S22"/>
    <mergeCell ref="K34:S34"/>
    <mergeCell ref="T1:T1048576"/>
    <mergeCell ref="A4:I4"/>
    <mergeCell ref="A15:I15"/>
    <mergeCell ref="A22:I22"/>
    <mergeCell ref="A34:I34"/>
    <mergeCell ref="J1:J1048576"/>
    <mergeCell ref="BF1:BF2"/>
    <mergeCell ref="BG1:BG2"/>
    <mergeCell ref="AY1:AY2"/>
    <mergeCell ref="AZ1:AZ2"/>
    <mergeCell ref="BA1:BA2"/>
    <mergeCell ref="BB1:BB2"/>
    <mergeCell ref="BC1:BE1"/>
    <mergeCell ref="AV1:AV2"/>
    <mergeCell ref="AW1:AW2"/>
    <mergeCell ref="AO1:AO2"/>
    <mergeCell ref="AP1:AP2"/>
    <mergeCell ref="AQ1:AQ2"/>
    <mergeCell ref="AR1:AR2"/>
    <mergeCell ref="AS1:AU1"/>
    <mergeCell ref="A1:A2"/>
    <mergeCell ref="E1:G1"/>
    <mergeCell ref="H1:H2"/>
    <mergeCell ref="I1:I2"/>
    <mergeCell ref="B1:B2"/>
    <mergeCell ref="C1:C2"/>
    <mergeCell ref="D1:D2"/>
    <mergeCell ref="K1:K2"/>
    <mergeCell ref="L1:L2"/>
    <mergeCell ref="M1:M2"/>
    <mergeCell ref="N1:N2"/>
    <mergeCell ref="O1:Q1"/>
    <mergeCell ref="R1:R2"/>
    <mergeCell ref="S1:S2"/>
    <mergeCell ref="U1:U2"/>
    <mergeCell ref="V1:V2"/>
    <mergeCell ref="W1:W2"/>
    <mergeCell ref="X1:X2"/>
    <mergeCell ref="Y1:AA1"/>
    <mergeCell ref="AB1:AB2"/>
    <mergeCell ref="AC1:AC2"/>
    <mergeCell ref="AE1:AE2"/>
    <mergeCell ref="AM1:AM2"/>
    <mergeCell ref="AF1:AF2"/>
    <mergeCell ref="AG1:AG2"/>
    <mergeCell ref="AH1:AH2"/>
    <mergeCell ref="AI1:AK1"/>
    <mergeCell ref="AL1:AL2"/>
    <mergeCell ref="BV1:BV2"/>
    <mergeCell ref="BW1:BY1"/>
    <mergeCell ref="BZ1:BZ2"/>
    <mergeCell ref="CA1:CA2"/>
    <mergeCell ref="CC1:CC2"/>
    <mergeCell ref="CB1:CB1048576"/>
    <mergeCell ref="CD1:CD2"/>
    <mergeCell ref="CE1:CE2"/>
    <mergeCell ref="CF1:CF2"/>
    <mergeCell ref="CG1:CI1"/>
    <mergeCell ref="CJ1:CJ2"/>
    <mergeCell ref="CQ1:CS1"/>
    <mergeCell ref="CT1:CT2"/>
    <mergeCell ref="CU1:CU2"/>
    <mergeCell ref="CK1:CK2"/>
    <mergeCell ref="CM1:CM2"/>
    <mergeCell ref="CN1:CN2"/>
    <mergeCell ref="CO1:CO2"/>
    <mergeCell ref="CP1:CP2"/>
    <mergeCell ref="CL1:CL1048576"/>
  </mergeCells>
  <pageMargins left="0.62992125984251968" right="0.23622047244094491" top="0.74803149606299213" bottom="0.74803149606299213" header="0.31496062992125984" footer="0.31496062992125984"/>
  <pageSetup paperSize="9" scale="93" orientation="portrait" r:id="rId1"/>
  <colBreaks count="3" manualBreakCount="3">
    <brk id="9" max="52" man="1"/>
    <brk id="19" max="1048575" man="1"/>
    <brk id="4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80"/>
  <sheetViews>
    <sheetView tabSelected="1" topLeftCell="J1" zoomScale="110" zoomScaleNormal="110" workbookViewId="0">
      <pane ySplit="1" topLeftCell="A272" activePane="bottomLeft" state="frozen"/>
      <selection pane="bottomLeft" activeCell="AG280" sqref="AG280"/>
    </sheetView>
  </sheetViews>
  <sheetFormatPr defaultColWidth="4.26953125" defaultRowHeight="10.5" customHeight="1" x14ac:dyDescent="0.25"/>
  <cols>
    <col min="1" max="1" width="4.26953125" style="5"/>
    <col min="2" max="2" width="35.81640625" style="5" customWidth="1"/>
    <col min="3" max="3" width="6.54296875" style="5" customWidth="1"/>
    <col min="4" max="4" width="10.81640625" style="5" customWidth="1"/>
    <col min="5" max="5" width="6.26953125" style="5" customWidth="1"/>
    <col min="6" max="6" width="5.81640625" style="5" customWidth="1"/>
    <col min="7" max="7" width="6.08984375" style="5" customWidth="1"/>
    <col min="8" max="8" width="6.26953125" style="5" customWidth="1"/>
    <col min="9" max="9" width="4.6328125" style="6" customWidth="1"/>
    <col min="10" max="11" width="5.36328125" style="5" customWidth="1"/>
    <col min="12" max="13" width="6.26953125" style="5" customWidth="1"/>
    <col min="14" max="14" width="7.1796875" style="5" customWidth="1"/>
    <col min="15" max="15" width="6.26953125" style="5" customWidth="1"/>
    <col min="16" max="16" width="5.81640625" style="5" customWidth="1"/>
    <col min="17" max="17" width="7" style="5" customWidth="1"/>
    <col min="18" max="18" width="6.1796875" style="5" customWidth="1"/>
    <col min="19" max="19" width="5.453125" style="5" customWidth="1"/>
    <col min="20" max="20" width="5.26953125" style="5" customWidth="1"/>
    <col min="21" max="21" width="6.81640625" style="5" customWidth="1"/>
    <col min="22" max="22" width="5.81640625" style="5" customWidth="1"/>
    <col min="23" max="23" width="6.81640625" style="48" customWidth="1"/>
    <col min="24" max="24" width="5.453125" style="5" customWidth="1"/>
    <col min="25" max="25" width="6.453125" style="5" customWidth="1"/>
    <col min="26" max="26" width="6.81640625" style="5" customWidth="1"/>
    <col min="27" max="27" width="6" style="5" customWidth="1"/>
    <col min="28" max="28" width="5.1796875" style="5" bestFit="1" customWidth="1"/>
    <col min="29" max="29" width="4.6328125" style="5" bestFit="1" customWidth="1"/>
    <col min="30" max="30" width="6.54296875" style="5" customWidth="1"/>
    <col min="31" max="31" width="6.26953125" style="5" customWidth="1"/>
    <col min="32" max="32" width="5.54296875" style="5" customWidth="1"/>
    <col min="33" max="33" width="6" style="5" bestFit="1" customWidth="1"/>
    <col min="34" max="16384" width="4.26953125" style="7"/>
  </cols>
  <sheetData>
    <row r="1" spans="1:33" s="64" customFormat="1" ht="38.25" customHeight="1" x14ac:dyDescent="0.25">
      <c r="A1" s="62" t="s">
        <v>45</v>
      </c>
      <c r="B1" s="62" t="s">
        <v>46</v>
      </c>
      <c r="C1" s="61" t="s">
        <v>47</v>
      </c>
      <c r="D1" s="61" t="s">
        <v>56</v>
      </c>
      <c r="E1" s="63" t="s">
        <v>55</v>
      </c>
      <c r="F1" s="63" t="s">
        <v>48</v>
      </c>
      <c r="G1" s="61" t="s">
        <v>49</v>
      </c>
      <c r="H1" s="61" t="s">
        <v>50</v>
      </c>
      <c r="I1" s="63" t="s">
        <v>51</v>
      </c>
      <c r="J1" s="61" t="s">
        <v>52</v>
      </c>
      <c r="K1" s="61" t="s">
        <v>196</v>
      </c>
      <c r="L1" s="63" t="s">
        <v>53</v>
      </c>
      <c r="M1" s="61" t="s">
        <v>54</v>
      </c>
      <c r="N1" s="61" t="s">
        <v>57</v>
      </c>
      <c r="O1" s="61" t="s">
        <v>37</v>
      </c>
      <c r="P1" s="61" t="s">
        <v>58</v>
      </c>
      <c r="Q1" s="61" t="s">
        <v>59</v>
      </c>
      <c r="R1" s="61" t="s">
        <v>60</v>
      </c>
      <c r="S1" s="61" t="s">
        <v>61</v>
      </c>
      <c r="T1" s="61" t="s">
        <v>62</v>
      </c>
      <c r="U1" s="63" t="s">
        <v>63</v>
      </c>
      <c r="V1" s="61" t="s">
        <v>64</v>
      </c>
      <c r="W1" s="63" t="s">
        <v>65</v>
      </c>
      <c r="X1" s="61" t="s">
        <v>75</v>
      </c>
      <c r="Y1" s="61" t="s">
        <v>66</v>
      </c>
      <c r="Z1" s="61" t="s">
        <v>67</v>
      </c>
      <c r="AA1" s="61" t="s">
        <v>68</v>
      </c>
      <c r="AB1" s="61" t="s">
        <v>69</v>
      </c>
      <c r="AC1" s="61" t="s">
        <v>70</v>
      </c>
      <c r="AD1" s="61" t="s">
        <v>71</v>
      </c>
      <c r="AE1" s="61" t="s">
        <v>72</v>
      </c>
      <c r="AF1" s="61" t="s">
        <v>73</v>
      </c>
      <c r="AG1" s="61" t="s">
        <v>74</v>
      </c>
    </row>
    <row r="2" spans="1:33" s="27" customFormat="1" ht="10.5" customHeight="1" x14ac:dyDescent="0.3">
      <c r="A2" s="177" t="s">
        <v>27</v>
      </c>
      <c r="B2" s="178"/>
      <c r="C2" s="26"/>
      <c r="D2" s="26"/>
      <c r="E2" s="26"/>
      <c r="F2" s="26"/>
      <c r="G2" s="26"/>
      <c r="H2" s="26"/>
      <c r="I2" s="10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106"/>
      <c r="X2" s="26"/>
      <c r="Y2" s="26"/>
      <c r="Z2" s="26"/>
      <c r="AA2" s="26"/>
      <c r="AB2" s="26"/>
      <c r="AC2" s="26"/>
      <c r="AD2" s="26"/>
      <c r="AE2" s="26"/>
      <c r="AF2" s="26"/>
      <c r="AG2" s="26"/>
    </row>
    <row r="3" spans="1:33" s="49" customFormat="1" ht="10.5" customHeight="1" x14ac:dyDescent="0.25">
      <c r="A3" s="48">
        <v>3</v>
      </c>
      <c r="B3" s="48" t="s">
        <v>131</v>
      </c>
      <c r="C3" s="48">
        <v>45</v>
      </c>
      <c r="D3" s="45"/>
      <c r="E3" s="45"/>
      <c r="F3" s="45"/>
      <c r="G3" s="45">
        <v>10</v>
      </c>
      <c r="H3" s="45"/>
      <c r="I3" s="48"/>
      <c r="J3" s="45"/>
      <c r="K3" s="45"/>
      <c r="L3" s="45"/>
      <c r="M3" s="45"/>
      <c r="N3" s="45"/>
      <c r="O3" s="45"/>
      <c r="P3" s="45"/>
      <c r="Q3" s="45"/>
      <c r="R3" s="45"/>
      <c r="S3" s="45"/>
      <c r="T3" s="45">
        <v>30</v>
      </c>
      <c r="U3" s="45"/>
      <c r="V3" s="45"/>
      <c r="W3" s="48"/>
      <c r="X3" s="45">
        <v>5</v>
      </c>
      <c r="Y3" s="45"/>
      <c r="Z3" s="45"/>
      <c r="AA3" s="45"/>
      <c r="AB3" s="45"/>
      <c r="AC3" s="45"/>
      <c r="AD3" s="45"/>
      <c r="AE3" s="45"/>
      <c r="AF3" s="45"/>
      <c r="AG3" s="45"/>
    </row>
    <row r="4" spans="1:33" s="58" customFormat="1" ht="10.5" customHeight="1" x14ac:dyDescent="0.25">
      <c r="A4" s="48">
        <v>235</v>
      </c>
      <c r="B4" s="48" t="s">
        <v>88</v>
      </c>
      <c r="C4" s="48">
        <v>150</v>
      </c>
      <c r="D4" s="48"/>
      <c r="E4" s="48">
        <v>86.58</v>
      </c>
      <c r="F4" s="48">
        <v>4.17</v>
      </c>
      <c r="G4" s="48"/>
      <c r="H4" s="48"/>
      <c r="I4" s="48"/>
      <c r="J4" s="48"/>
      <c r="K4" s="48"/>
      <c r="L4" s="139">
        <v>9.6</v>
      </c>
      <c r="M4" s="48"/>
      <c r="N4" s="48"/>
      <c r="O4" s="48"/>
      <c r="P4" s="48">
        <v>4.25</v>
      </c>
      <c r="Q4" s="48"/>
      <c r="R4" s="48"/>
      <c r="S4" s="48"/>
      <c r="T4" s="48"/>
      <c r="U4" s="48">
        <v>21</v>
      </c>
      <c r="V4" s="48"/>
      <c r="W4" s="48"/>
      <c r="X4" s="48">
        <v>4.33</v>
      </c>
      <c r="Y4" s="48"/>
      <c r="Z4" s="48"/>
      <c r="AA4" s="48"/>
      <c r="AB4" s="48"/>
      <c r="AC4" s="48"/>
      <c r="AD4" s="139">
        <v>5.5</v>
      </c>
      <c r="AE4" s="48"/>
      <c r="AF4" s="48"/>
      <c r="AG4" s="48">
        <v>0.83</v>
      </c>
    </row>
    <row r="5" spans="1:33" s="47" customFormat="1" ht="10.5" customHeight="1" x14ac:dyDescent="0.25">
      <c r="A5" s="48" t="s">
        <v>44</v>
      </c>
      <c r="B5" s="48" t="s">
        <v>87</v>
      </c>
      <c r="C5" s="48">
        <v>10</v>
      </c>
      <c r="D5" s="46"/>
      <c r="E5" s="46"/>
      <c r="F5" s="46">
        <v>10</v>
      </c>
      <c r="G5" s="46"/>
      <c r="H5" s="46"/>
      <c r="I5" s="48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6"/>
      <c r="W5" s="48"/>
      <c r="X5" s="46"/>
      <c r="Y5" s="46"/>
      <c r="Z5" s="46"/>
      <c r="AA5" s="46"/>
      <c r="AB5" s="46"/>
      <c r="AC5" s="46"/>
      <c r="AD5" s="46"/>
      <c r="AE5" s="46"/>
      <c r="AF5" s="46"/>
      <c r="AG5" s="46"/>
    </row>
    <row r="6" spans="1:33" s="47" customFormat="1" ht="10.5" customHeight="1" x14ac:dyDescent="0.25">
      <c r="A6" s="48">
        <v>400</v>
      </c>
      <c r="B6" s="48" t="s">
        <v>168</v>
      </c>
      <c r="C6" s="48">
        <v>180</v>
      </c>
      <c r="D6" s="46">
        <v>180</v>
      </c>
      <c r="E6" s="46"/>
      <c r="F6" s="46"/>
      <c r="G6" s="46"/>
      <c r="H6" s="46"/>
      <c r="I6" s="48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8"/>
      <c r="X6" s="46"/>
      <c r="Y6" s="46"/>
      <c r="Z6" s="46"/>
      <c r="AA6" s="46"/>
      <c r="AB6" s="46"/>
      <c r="AC6" s="46"/>
      <c r="AD6" s="46"/>
      <c r="AE6" s="46"/>
      <c r="AF6" s="46"/>
      <c r="AG6" s="46"/>
    </row>
    <row r="7" spans="1:33" s="105" customFormat="1" ht="10.5" customHeight="1" x14ac:dyDescent="0.25">
      <c r="A7" s="6">
        <v>41</v>
      </c>
      <c r="B7" s="6" t="s">
        <v>137</v>
      </c>
      <c r="C7" s="6">
        <v>40</v>
      </c>
      <c r="D7" s="6"/>
      <c r="E7" s="6"/>
      <c r="F7" s="6"/>
      <c r="G7" s="6"/>
      <c r="H7" s="6"/>
      <c r="I7" s="6"/>
      <c r="J7" s="6"/>
      <c r="K7" s="6"/>
      <c r="L7" s="6"/>
      <c r="M7" s="6"/>
      <c r="N7" s="6">
        <f>53*0.4</f>
        <v>21.200000000000003</v>
      </c>
      <c r="O7" s="6">
        <f>43*0.4</f>
        <v>17.2</v>
      </c>
      <c r="P7" s="6"/>
      <c r="Q7" s="6"/>
      <c r="R7" s="6"/>
      <c r="S7" s="6"/>
      <c r="T7" s="6"/>
      <c r="U7" s="6"/>
      <c r="V7" s="6"/>
      <c r="W7" s="6"/>
      <c r="X7" s="6"/>
      <c r="Y7" s="6">
        <v>2</v>
      </c>
      <c r="Z7" s="6"/>
      <c r="AA7" s="6"/>
      <c r="AB7" s="6"/>
      <c r="AC7" s="6"/>
      <c r="AD7" s="6">
        <v>1</v>
      </c>
      <c r="AE7" s="6"/>
      <c r="AF7" s="6"/>
      <c r="AG7" s="6"/>
    </row>
    <row r="9" spans="1:33" s="57" customFormat="1" ht="10.5" customHeight="1" x14ac:dyDescent="0.25">
      <c r="A9" s="50"/>
      <c r="B9" s="50"/>
      <c r="C9" s="56">
        <f>SUM(C3:C8)</f>
        <v>425</v>
      </c>
      <c r="D9" s="50"/>
      <c r="E9" s="50"/>
      <c r="F9" s="50"/>
      <c r="G9" s="50"/>
      <c r="H9" s="50"/>
      <c r="I9" s="48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48"/>
      <c r="X9" s="50"/>
      <c r="Y9" s="50"/>
      <c r="Z9" s="50"/>
      <c r="AA9" s="50"/>
      <c r="AB9" s="50"/>
      <c r="AC9" s="50"/>
      <c r="AD9" s="50"/>
      <c r="AE9" s="50"/>
      <c r="AF9" s="50"/>
      <c r="AG9" s="50"/>
    </row>
    <row r="10" spans="1:33" s="57" customFormat="1" ht="10.5" customHeight="1" x14ac:dyDescent="0.25">
      <c r="A10" s="50"/>
      <c r="B10" s="50"/>
      <c r="C10" s="56"/>
      <c r="D10" s="50"/>
      <c r="E10" s="50"/>
      <c r="F10" s="50"/>
      <c r="G10" s="50"/>
      <c r="H10" s="50"/>
      <c r="I10" s="48"/>
      <c r="J10" s="50"/>
      <c r="K10" s="50"/>
      <c r="L10" s="50"/>
      <c r="M10" s="50"/>
      <c r="N10" s="50"/>
      <c r="O10" s="50"/>
      <c r="P10" s="50"/>
      <c r="Q10" s="50"/>
      <c r="R10" s="50"/>
      <c r="S10" s="50"/>
      <c r="T10" s="50"/>
      <c r="U10" s="50"/>
      <c r="V10" s="50"/>
      <c r="W10" s="48"/>
      <c r="X10" s="50"/>
      <c r="Y10" s="50"/>
      <c r="Z10" s="50"/>
      <c r="AA10" s="50"/>
      <c r="AB10" s="50"/>
      <c r="AC10" s="50"/>
      <c r="AD10" s="50"/>
      <c r="AE10" s="50"/>
      <c r="AF10" s="50"/>
      <c r="AG10" s="50"/>
    </row>
    <row r="11" spans="1:33" s="5" customFormat="1" ht="10.5" customHeight="1" x14ac:dyDescent="0.25">
      <c r="A11" s="6">
        <v>401</v>
      </c>
      <c r="B11" s="6" t="s">
        <v>165</v>
      </c>
      <c r="C11" s="6">
        <v>150</v>
      </c>
      <c r="D11" s="5">
        <v>150</v>
      </c>
      <c r="I11" s="6"/>
      <c r="W11" s="6"/>
    </row>
    <row r="12" spans="1:33" ht="10.5" customHeight="1" x14ac:dyDescent="0.25">
      <c r="B12" s="48" t="s">
        <v>201</v>
      </c>
      <c r="C12" s="74">
        <v>20</v>
      </c>
      <c r="D12" s="75"/>
      <c r="E12" s="75"/>
      <c r="F12" s="75"/>
      <c r="G12" s="75"/>
      <c r="H12" s="45"/>
      <c r="I12" s="48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X12" s="45"/>
      <c r="Y12" s="45"/>
      <c r="Z12" s="45">
        <v>20</v>
      </c>
    </row>
    <row r="13" spans="1:33" s="47" customFormat="1" ht="10.5" customHeight="1" x14ac:dyDescent="0.25">
      <c r="A13" s="46"/>
      <c r="B13" s="46"/>
      <c r="C13" s="46"/>
      <c r="D13" s="46"/>
      <c r="E13" s="46"/>
      <c r="F13" s="46"/>
      <c r="G13" s="46"/>
      <c r="H13" s="46"/>
      <c r="I13" s="48"/>
      <c r="J13" s="46"/>
      <c r="K13" s="46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8"/>
      <c r="X13" s="46"/>
      <c r="Y13" s="46"/>
      <c r="Z13" s="46"/>
      <c r="AA13" s="46"/>
      <c r="AB13" s="46"/>
      <c r="AC13" s="46"/>
      <c r="AD13" s="46"/>
      <c r="AE13" s="46"/>
      <c r="AF13" s="46"/>
      <c r="AG13" s="46"/>
    </row>
    <row r="14" spans="1:33" s="58" customFormat="1" ht="10.5" customHeight="1" x14ac:dyDescent="0.25">
      <c r="A14" s="48" t="s">
        <v>44</v>
      </c>
      <c r="B14" s="48" t="s">
        <v>202</v>
      </c>
      <c r="C14" s="48">
        <v>40</v>
      </c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>
        <v>36.4</v>
      </c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>
        <v>2</v>
      </c>
      <c r="Z14" s="48"/>
      <c r="AA14" s="48"/>
      <c r="AB14" s="48"/>
      <c r="AC14" s="48"/>
      <c r="AD14" s="48">
        <v>1.5</v>
      </c>
      <c r="AE14" s="48"/>
      <c r="AF14" s="48"/>
      <c r="AG14" s="48"/>
    </row>
    <row r="15" spans="1:33" s="47" customFormat="1" ht="10.5" customHeight="1" x14ac:dyDescent="0.25">
      <c r="A15" s="48">
        <v>80</v>
      </c>
      <c r="B15" s="48" t="s">
        <v>97</v>
      </c>
      <c r="C15" s="48">
        <v>180</v>
      </c>
      <c r="D15" s="48"/>
      <c r="E15" s="48"/>
      <c r="F15" s="48"/>
      <c r="G15" s="48"/>
      <c r="H15" s="48"/>
      <c r="I15" s="48"/>
      <c r="J15" s="48"/>
      <c r="K15" s="48"/>
      <c r="L15" s="48"/>
      <c r="M15" s="48">
        <v>54</v>
      </c>
      <c r="N15" s="48">
        <v>14.4</v>
      </c>
      <c r="O15" s="48"/>
      <c r="P15" s="48"/>
      <c r="Q15" s="48"/>
      <c r="R15" s="48"/>
      <c r="S15" s="48"/>
      <c r="T15" s="48"/>
      <c r="U15" s="48">
        <v>3.6</v>
      </c>
      <c r="V15" s="48"/>
      <c r="W15" s="48"/>
      <c r="X15" s="48"/>
      <c r="Y15" s="48">
        <v>1.8</v>
      </c>
      <c r="Z15" s="48"/>
      <c r="AA15" s="48"/>
      <c r="AB15" s="48"/>
      <c r="AC15" s="48"/>
      <c r="AD15" s="48"/>
      <c r="AE15" s="48"/>
      <c r="AF15" s="48"/>
      <c r="AG15" s="139">
        <v>0.3</v>
      </c>
    </row>
    <row r="16" spans="1:33" s="105" customFormat="1" ht="10.5" customHeight="1" x14ac:dyDescent="0.25">
      <c r="A16" s="6">
        <v>274</v>
      </c>
      <c r="B16" s="6" t="s">
        <v>98</v>
      </c>
      <c r="C16" s="6">
        <v>170</v>
      </c>
      <c r="D16" s="6"/>
      <c r="E16" s="6"/>
      <c r="F16" s="6"/>
      <c r="G16" s="6"/>
      <c r="H16" s="141">
        <v>96</v>
      </c>
      <c r="I16" s="6"/>
      <c r="J16" s="6"/>
      <c r="K16" s="6"/>
      <c r="L16" s="6"/>
      <c r="M16" s="6">
        <v>50</v>
      </c>
      <c r="N16" s="141">
        <v>21</v>
      </c>
      <c r="O16" s="6"/>
      <c r="P16" s="6"/>
      <c r="Q16" s="6"/>
      <c r="R16" s="6"/>
      <c r="S16" s="6"/>
      <c r="T16" s="6"/>
      <c r="U16" s="6"/>
      <c r="V16" s="6"/>
      <c r="W16" s="6">
        <v>3</v>
      </c>
      <c r="X16" s="6">
        <v>5</v>
      </c>
      <c r="Y16" s="6"/>
      <c r="Z16" s="6"/>
      <c r="AA16" s="6"/>
      <c r="AB16" s="6"/>
      <c r="AC16" s="6"/>
      <c r="AD16" s="6"/>
      <c r="AE16" s="6"/>
      <c r="AF16" s="6"/>
      <c r="AG16" s="6">
        <v>0.4</v>
      </c>
    </row>
    <row r="17" spans="1:33" ht="10.5" customHeight="1" x14ac:dyDescent="0.25">
      <c r="A17" s="6">
        <v>373</v>
      </c>
      <c r="B17" s="6" t="s">
        <v>146</v>
      </c>
      <c r="C17" s="6">
        <v>150</v>
      </c>
      <c r="O17" s="5">
        <f>36*150/180</f>
        <v>30</v>
      </c>
      <c r="W17" s="6"/>
      <c r="AD17" s="5">
        <v>7</v>
      </c>
    </row>
    <row r="18" spans="1:33" s="47" customFormat="1" ht="10.5" customHeight="1" x14ac:dyDescent="0.25">
      <c r="A18" s="45"/>
      <c r="B18" s="45" t="s">
        <v>151</v>
      </c>
      <c r="C18" s="45">
        <v>30</v>
      </c>
      <c r="D18" s="46"/>
      <c r="E18" s="46"/>
      <c r="F18" s="46"/>
      <c r="G18" s="46"/>
      <c r="H18" s="46"/>
      <c r="I18" s="48"/>
      <c r="J18" s="46"/>
      <c r="K18" s="46"/>
      <c r="L18" s="46"/>
      <c r="M18" s="46"/>
      <c r="N18" s="46"/>
      <c r="O18" s="46"/>
      <c r="P18" s="46"/>
      <c r="Q18" s="46"/>
      <c r="R18" s="46"/>
      <c r="S18" s="46">
        <v>30</v>
      </c>
      <c r="T18" s="46"/>
      <c r="U18" s="46"/>
      <c r="V18" s="46"/>
      <c r="W18" s="48"/>
      <c r="X18" s="46"/>
      <c r="Y18" s="46"/>
      <c r="Z18" s="46"/>
      <c r="AA18" s="46"/>
      <c r="AB18" s="46"/>
      <c r="AC18" s="46"/>
      <c r="AD18" s="46"/>
      <c r="AE18" s="46"/>
      <c r="AF18" s="46"/>
      <c r="AG18" s="46"/>
    </row>
    <row r="19" spans="1:33" s="47" customFormat="1" ht="10.5" customHeight="1" x14ac:dyDescent="0.25">
      <c r="A19" s="46"/>
      <c r="B19" s="46"/>
      <c r="C19" s="59">
        <f>SUM(C14:C18)</f>
        <v>570</v>
      </c>
      <c r="D19" s="46"/>
      <c r="E19" s="46"/>
      <c r="F19" s="46"/>
      <c r="G19" s="46"/>
      <c r="H19" s="46"/>
      <c r="I19" s="48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8"/>
      <c r="X19" s="46"/>
      <c r="Y19" s="46"/>
      <c r="Z19" s="46"/>
      <c r="AA19" s="46"/>
      <c r="AB19" s="46"/>
      <c r="AC19" s="46"/>
      <c r="AD19" s="46"/>
      <c r="AE19" s="46"/>
      <c r="AF19" s="46"/>
      <c r="AG19" s="46"/>
    </row>
    <row r="20" spans="1:33" s="58" customFormat="1" ht="10.5" customHeight="1" x14ac:dyDescent="0.25">
      <c r="A20" s="130"/>
      <c r="B20" s="107" t="s">
        <v>203</v>
      </c>
      <c r="C20" s="146">
        <v>80</v>
      </c>
      <c r="D20" s="48"/>
      <c r="E20" s="48"/>
      <c r="F20" s="139">
        <v>15</v>
      </c>
      <c r="G20" s="48"/>
      <c r="H20" s="48"/>
      <c r="I20" s="48"/>
      <c r="J20" s="48"/>
      <c r="K20" s="48">
        <v>74</v>
      </c>
      <c r="L20" s="48"/>
      <c r="M20" s="48"/>
      <c r="N20" s="139">
        <v>3</v>
      </c>
      <c r="O20" s="48"/>
      <c r="P20" s="48"/>
      <c r="Q20" s="48"/>
      <c r="R20" s="48"/>
      <c r="S20" s="48"/>
      <c r="T20" s="48"/>
      <c r="U20" s="48"/>
      <c r="V20" s="48"/>
      <c r="W20" s="139">
        <v>1.4</v>
      </c>
      <c r="X20" s="139">
        <v>7.5</v>
      </c>
      <c r="Y20" s="48"/>
      <c r="Z20" s="48"/>
      <c r="AA20" s="48"/>
      <c r="AB20" s="48"/>
      <c r="AC20" s="48"/>
      <c r="AD20" s="48"/>
      <c r="AE20" s="48"/>
      <c r="AF20" s="48"/>
      <c r="AG20" s="139">
        <v>0.5</v>
      </c>
    </row>
    <row r="21" spans="1:33" s="105" customFormat="1" ht="10.5" customHeight="1" x14ac:dyDescent="0.25">
      <c r="A21" s="6"/>
      <c r="B21" s="6" t="s">
        <v>153</v>
      </c>
      <c r="C21" s="6">
        <v>120</v>
      </c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>
        <v>40</v>
      </c>
      <c r="V21" s="6"/>
      <c r="W21" s="48"/>
      <c r="X21" s="6">
        <v>2</v>
      </c>
      <c r="Y21" s="6"/>
      <c r="Z21" s="6"/>
      <c r="AA21" s="6"/>
      <c r="AB21" s="6"/>
      <c r="AC21" s="6"/>
      <c r="AD21" s="6"/>
      <c r="AE21" s="6"/>
      <c r="AF21" s="6"/>
      <c r="AG21" s="6">
        <v>0.2</v>
      </c>
    </row>
    <row r="22" spans="1:33" s="105" customFormat="1" ht="10.5" customHeight="1" x14ac:dyDescent="0.25">
      <c r="A22" s="6">
        <v>478</v>
      </c>
      <c r="B22" s="6" t="s">
        <v>204</v>
      </c>
      <c r="C22" s="6">
        <v>30</v>
      </c>
      <c r="D22" s="6"/>
      <c r="E22" s="6"/>
      <c r="F22" s="6"/>
      <c r="G22" s="6"/>
      <c r="H22" s="6"/>
      <c r="I22" s="6"/>
      <c r="J22" s="6"/>
      <c r="K22" s="6"/>
      <c r="L22" s="141">
        <v>0.48</v>
      </c>
      <c r="M22" s="6"/>
      <c r="N22" s="141">
        <v>1.3</v>
      </c>
      <c r="O22" s="6"/>
      <c r="P22" s="6"/>
      <c r="Q22" s="6"/>
      <c r="R22" s="6"/>
      <c r="S22" s="6"/>
      <c r="T22" s="6"/>
      <c r="U22" s="6"/>
      <c r="V22" s="6"/>
      <c r="W22" s="48">
        <v>19.2</v>
      </c>
      <c r="X22" s="6"/>
      <c r="Y22" s="6">
        <v>3.5</v>
      </c>
      <c r="Z22" s="6"/>
      <c r="AA22" s="6"/>
      <c r="AB22" s="6"/>
      <c r="AC22" s="6"/>
      <c r="AD22" s="6">
        <v>3</v>
      </c>
      <c r="AE22" s="141">
        <v>0.4</v>
      </c>
      <c r="AF22" s="6"/>
      <c r="AG22" s="141">
        <v>0.18</v>
      </c>
    </row>
    <row r="23" spans="1:33" s="58" customFormat="1" ht="10.5" customHeight="1" x14ac:dyDescent="0.25">
      <c r="A23" s="48"/>
      <c r="B23" s="48" t="s">
        <v>33</v>
      </c>
      <c r="C23" s="48">
        <v>20</v>
      </c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>
        <v>20</v>
      </c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</row>
    <row r="24" spans="1:33" s="58" customFormat="1" ht="10.5" customHeight="1" x14ac:dyDescent="0.25">
      <c r="A24" s="48">
        <v>392</v>
      </c>
      <c r="B24" s="48" t="s">
        <v>220</v>
      </c>
      <c r="C24" s="48">
        <v>150</v>
      </c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139">
        <v>0.7</v>
      </c>
      <c r="AB24" s="48"/>
      <c r="AC24" s="48"/>
      <c r="AD24" s="48">
        <v>5</v>
      </c>
      <c r="AE24" s="48"/>
      <c r="AF24" s="48"/>
      <c r="AG24" s="48"/>
    </row>
    <row r="25" spans="1:33" s="105" customFormat="1" ht="10.5" customHeight="1" x14ac:dyDescent="0.25">
      <c r="A25" s="6"/>
      <c r="B25" s="6" t="s">
        <v>37</v>
      </c>
      <c r="C25" s="6">
        <v>95</v>
      </c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>
        <v>95</v>
      </c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</row>
    <row r="26" spans="1:33" ht="10.5" customHeight="1" x14ac:dyDescent="0.25">
      <c r="C26" s="43">
        <f>SUM(C20:C25)</f>
        <v>495</v>
      </c>
    </row>
    <row r="28" spans="1:33" s="11" customFormat="1" ht="10.5" customHeight="1" x14ac:dyDescent="0.25">
      <c r="A28" s="9"/>
      <c r="B28" s="10" t="s">
        <v>79</v>
      </c>
      <c r="C28" s="9"/>
      <c r="D28" s="9">
        <f t="shared" ref="D28:AG28" si="0">SUM(D3:D27)</f>
        <v>330</v>
      </c>
      <c r="E28" s="9">
        <f t="shared" si="0"/>
        <v>86.58</v>
      </c>
      <c r="F28" s="9">
        <f t="shared" si="0"/>
        <v>29.17</v>
      </c>
      <c r="G28" s="9">
        <f t="shared" si="0"/>
        <v>10</v>
      </c>
      <c r="H28" s="9">
        <f t="shared" si="0"/>
        <v>96</v>
      </c>
      <c r="I28" s="9">
        <f t="shared" si="0"/>
        <v>0</v>
      </c>
      <c r="J28" s="9">
        <f t="shared" si="0"/>
        <v>0</v>
      </c>
      <c r="K28" s="9">
        <f t="shared" si="0"/>
        <v>74</v>
      </c>
      <c r="L28" s="9">
        <f t="shared" si="0"/>
        <v>10.08</v>
      </c>
      <c r="M28" s="9">
        <f t="shared" si="0"/>
        <v>104</v>
      </c>
      <c r="N28" s="9">
        <f t="shared" si="0"/>
        <v>97.3</v>
      </c>
      <c r="O28" s="9">
        <f t="shared" si="0"/>
        <v>142.19999999999999</v>
      </c>
      <c r="P28" s="9">
        <f t="shared" si="0"/>
        <v>4.25</v>
      </c>
      <c r="Q28" s="9">
        <f t="shared" si="0"/>
        <v>0</v>
      </c>
      <c r="R28" s="9">
        <f t="shared" si="0"/>
        <v>0</v>
      </c>
      <c r="S28" s="9">
        <f t="shared" si="0"/>
        <v>30</v>
      </c>
      <c r="T28" s="9">
        <f t="shared" si="0"/>
        <v>50</v>
      </c>
      <c r="U28" s="9">
        <f t="shared" si="0"/>
        <v>64.599999999999994</v>
      </c>
      <c r="V28" s="9">
        <f t="shared" si="0"/>
        <v>0</v>
      </c>
      <c r="W28" s="9">
        <f t="shared" si="0"/>
        <v>23.6</v>
      </c>
      <c r="X28" s="9">
        <f t="shared" si="0"/>
        <v>23.83</v>
      </c>
      <c r="Y28" s="9">
        <f t="shared" si="0"/>
        <v>9.3000000000000007</v>
      </c>
      <c r="Z28" s="9">
        <f t="shared" si="0"/>
        <v>20</v>
      </c>
      <c r="AA28" s="9">
        <f t="shared" si="0"/>
        <v>0.7</v>
      </c>
      <c r="AB28" s="9">
        <f t="shared" si="0"/>
        <v>0</v>
      </c>
      <c r="AC28" s="9">
        <f t="shared" si="0"/>
        <v>0</v>
      </c>
      <c r="AD28" s="9">
        <f t="shared" si="0"/>
        <v>23</v>
      </c>
      <c r="AE28" s="9">
        <f t="shared" si="0"/>
        <v>0.4</v>
      </c>
      <c r="AF28" s="9">
        <f t="shared" si="0"/>
        <v>0</v>
      </c>
      <c r="AG28" s="9">
        <f t="shared" si="0"/>
        <v>2.41</v>
      </c>
    </row>
    <row r="29" spans="1:33" ht="10.5" customHeight="1" x14ac:dyDescent="0.25">
      <c r="B29" s="5" t="s">
        <v>200</v>
      </c>
    </row>
    <row r="30" spans="1:33" s="27" customFormat="1" ht="10.5" customHeight="1" x14ac:dyDescent="0.3">
      <c r="A30" s="177" t="s">
        <v>36</v>
      </c>
      <c r="B30" s="178"/>
      <c r="C30" s="26"/>
      <c r="D30" s="26"/>
      <c r="E30" s="26"/>
      <c r="F30" s="26"/>
      <c r="G30" s="26"/>
      <c r="H30" s="26"/>
      <c r="I30" s="10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106"/>
      <c r="X30" s="26"/>
      <c r="Y30" s="26"/>
      <c r="Z30" s="26"/>
      <c r="AA30" s="26"/>
      <c r="AB30" s="26"/>
      <c r="AC30" s="26"/>
      <c r="AD30" s="26"/>
      <c r="AE30" s="26"/>
      <c r="AF30" s="26"/>
      <c r="AG30" s="26"/>
    </row>
    <row r="31" spans="1:33" ht="10.5" customHeight="1" x14ac:dyDescent="0.25">
      <c r="A31" s="22"/>
      <c r="B31" s="22" t="s">
        <v>142</v>
      </c>
      <c r="C31" s="22">
        <v>45</v>
      </c>
      <c r="T31" s="5">
        <v>30</v>
      </c>
      <c r="X31" s="5">
        <v>5</v>
      </c>
      <c r="Z31" s="5">
        <v>10</v>
      </c>
    </row>
    <row r="32" spans="1:33" s="58" customFormat="1" ht="10.5" customHeight="1" x14ac:dyDescent="0.25">
      <c r="A32" s="58">
        <v>275</v>
      </c>
      <c r="B32" s="65" t="s">
        <v>197</v>
      </c>
      <c r="C32" s="65">
        <v>120</v>
      </c>
      <c r="D32" s="48">
        <v>42</v>
      </c>
      <c r="E32" s="48"/>
      <c r="F32" s="48"/>
      <c r="G32" s="48"/>
      <c r="H32" s="139">
        <v>42</v>
      </c>
      <c r="I32" s="48"/>
      <c r="J32" s="48"/>
      <c r="K32" s="48"/>
      <c r="L32" s="48">
        <v>64</v>
      </c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>
        <v>5</v>
      </c>
      <c r="Y32" s="48"/>
      <c r="Z32" s="48"/>
      <c r="AA32" s="48"/>
      <c r="AB32" s="48"/>
      <c r="AC32" s="48"/>
      <c r="AD32" s="48"/>
      <c r="AE32" s="48"/>
      <c r="AF32" s="48"/>
      <c r="AG32" s="48">
        <v>0.4</v>
      </c>
    </row>
    <row r="33" spans="1:33" s="58" customFormat="1" ht="10.5" customHeight="1" x14ac:dyDescent="0.25">
      <c r="A33" s="58" t="s">
        <v>44</v>
      </c>
      <c r="B33" s="58" t="s">
        <v>199</v>
      </c>
      <c r="C33" s="58">
        <v>30</v>
      </c>
      <c r="D33" s="48"/>
      <c r="E33" s="48"/>
      <c r="F33" s="48"/>
      <c r="G33" s="48"/>
      <c r="H33" s="48"/>
      <c r="I33" s="48"/>
      <c r="J33" s="48"/>
      <c r="K33" s="48"/>
      <c r="L33" s="48"/>
      <c r="M33" s="48"/>
      <c r="N33" s="48">
        <v>30</v>
      </c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</row>
    <row r="34" spans="1:33" s="58" customFormat="1" ht="10.5" customHeight="1" x14ac:dyDescent="0.25">
      <c r="A34" s="48">
        <v>397</v>
      </c>
      <c r="B34" s="48" t="s">
        <v>41</v>
      </c>
      <c r="C34" s="48">
        <v>150</v>
      </c>
      <c r="D34" s="48">
        <v>91.7</v>
      </c>
      <c r="E34" s="48"/>
      <c r="F34" s="48"/>
      <c r="G34" s="48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>
        <v>2.5</v>
      </c>
      <c r="AC34" s="48"/>
      <c r="AD34" s="117">
        <v>4</v>
      </c>
      <c r="AE34" s="48"/>
      <c r="AF34" s="48"/>
      <c r="AG34" s="48"/>
    </row>
    <row r="35" spans="1:33" s="49" customFormat="1" ht="10.5" customHeight="1" x14ac:dyDescent="0.25">
      <c r="A35" s="48"/>
      <c r="B35" s="48" t="s">
        <v>151</v>
      </c>
      <c r="C35" s="48">
        <v>20</v>
      </c>
      <c r="D35" s="45"/>
      <c r="E35" s="45"/>
      <c r="F35" s="45"/>
      <c r="G35" s="45"/>
      <c r="H35" s="45"/>
      <c r="I35" s="48"/>
      <c r="J35" s="45"/>
      <c r="K35" s="45"/>
      <c r="L35" s="45"/>
      <c r="M35" s="45"/>
      <c r="N35" s="45"/>
      <c r="O35" s="45"/>
      <c r="P35" s="45"/>
      <c r="Q35" s="45"/>
      <c r="R35" s="45"/>
      <c r="S35" s="45">
        <v>20</v>
      </c>
      <c r="T35" s="45"/>
      <c r="U35" s="45"/>
      <c r="V35" s="45"/>
      <c r="W35" s="48"/>
      <c r="X35" s="45"/>
      <c r="Y35" s="45"/>
      <c r="Z35" s="45"/>
      <c r="AA35" s="45"/>
      <c r="AB35" s="45"/>
      <c r="AC35" s="45"/>
      <c r="AD35" s="45"/>
      <c r="AE35" s="45"/>
      <c r="AF35" s="45"/>
      <c r="AG35" s="45"/>
    </row>
    <row r="37" spans="1:33" s="47" customFormat="1" ht="10.5" customHeight="1" x14ac:dyDescent="0.25">
      <c r="A37" s="46"/>
      <c r="B37" s="46"/>
      <c r="C37" s="59">
        <f>SUM(C31:C35)</f>
        <v>365</v>
      </c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8"/>
      <c r="X37" s="46"/>
      <c r="Y37" s="46"/>
      <c r="Z37" s="46"/>
      <c r="AA37" s="46"/>
      <c r="AB37" s="46"/>
      <c r="AC37" s="46"/>
      <c r="AD37" s="46"/>
      <c r="AE37" s="46"/>
      <c r="AF37" s="46"/>
      <c r="AG37" s="46"/>
    </row>
    <row r="38" spans="1:33" s="58" customFormat="1" ht="10.5" customHeight="1" x14ac:dyDescent="0.25">
      <c r="A38" s="48"/>
      <c r="B38" s="48" t="s">
        <v>201</v>
      </c>
      <c r="C38" s="48">
        <v>20</v>
      </c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>
        <v>20</v>
      </c>
      <c r="AA38" s="48"/>
      <c r="AB38" s="48"/>
      <c r="AC38" s="48"/>
      <c r="AD38" s="48"/>
      <c r="AE38" s="48"/>
      <c r="AF38" s="48"/>
      <c r="AG38" s="48"/>
    </row>
    <row r="39" spans="1:33" ht="10.5" customHeight="1" x14ac:dyDescent="0.25">
      <c r="A39" s="22">
        <v>399</v>
      </c>
      <c r="B39" s="48" t="s">
        <v>169</v>
      </c>
      <c r="C39" s="22">
        <v>150</v>
      </c>
      <c r="Q39" s="5">
        <v>150</v>
      </c>
      <c r="W39" s="6"/>
    </row>
    <row r="40" spans="1:33" s="47" customFormat="1" ht="10.5" customHeight="1" x14ac:dyDescent="0.25">
      <c r="A40" s="46"/>
      <c r="B40" s="46"/>
      <c r="C40" s="46"/>
      <c r="D40" s="46"/>
      <c r="E40" s="46"/>
      <c r="F40" s="46"/>
      <c r="G40" s="46"/>
      <c r="H40" s="46"/>
      <c r="I40" s="48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8"/>
      <c r="X40" s="46"/>
      <c r="Y40" s="46"/>
      <c r="Z40" s="46"/>
      <c r="AA40" s="46"/>
      <c r="AB40" s="46"/>
      <c r="AC40" s="46"/>
      <c r="AD40" s="46"/>
      <c r="AE40" s="46"/>
      <c r="AF40" s="46"/>
      <c r="AG40" s="46"/>
    </row>
    <row r="41" spans="1:33" ht="10.5" customHeight="1" x14ac:dyDescent="0.25">
      <c r="A41" s="6">
        <v>33</v>
      </c>
      <c r="B41" s="6" t="s">
        <v>136</v>
      </c>
      <c r="C41" s="6">
        <v>40</v>
      </c>
      <c r="N41" s="5">
        <f>95*0.4</f>
        <v>38</v>
      </c>
      <c r="W41" s="6"/>
      <c r="Y41" s="5">
        <v>3</v>
      </c>
      <c r="AG41" s="5">
        <v>0.15</v>
      </c>
    </row>
    <row r="42" spans="1:33" ht="10.5" customHeight="1" x14ac:dyDescent="0.25">
      <c r="A42" s="6">
        <v>74</v>
      </c>
      <c r="B42" s="6" t="s">
        <v>128</v>
      </c>
      <c r="C42" s="6">
        <v>180</v>
      </c>
      <c r="M42" s="5">
        <f>20*1.8</f>
        <v>36</v>
      </c>
      <c r="N42" s="5">
        <v>19.8</v>
      </c>
      <c r="U42" s="5">
        <f>2*1.8</f>
        <v>3.6</v>
      </c>
      <c r="W42" s="6"/>
      <c r="Y42" s="5">
        <v>1.8</v>
      </c>
      <c r="AG42" s="5">
        <v>0.5</v>
      </c>
    </row>
    <row r="43" spans="1:33" s="105" customFormat="1" ht="10.5" customHeight="1" x14ac:dyDescent="0.25">
      <c r="A43" s="6">
        <v>300</v>
      </c>
      <c r="B43" s="6" t="s">
        <v>217</v>
      </c>
      <c r="C43" s="126">
        <v>75</v>
      </c>
      <c r="D43" s="6"/>
      <c r="E43" s="6"/>
      <c r="F43" s="6">
        <v>12.5</v>
      </c>
      <c r="G43" s="6"/>
      <c r="H43" s="6"/>
      <c r="I43" s="6">
        <v>74</v>
      </c>
      <c r="J43" s="6"/>
      <c r="K43" s="6"/>
      <c r="L43" s="6"/>
      <c r="M43" s="6"/>
      <c r="N43" s="141">
        <v>1.7</v>
      </c>
      <c r="O43" s="6"/>
      <c r="P43" s="6"/>
      <c r="Q43" s="6"/>
      <c r="R43" s="6"/>
      <c r="S43" s="6"/>
      <c r="T43" s="6"/>
      <c r="U43" s="6"/>
      <c r="V43" s="6"/>
      <c r="W43" s="6">
        <v>1.1200000000000001</v>
      </c>
      <c r="X43" s="6">
        <v>1.25</v>
      </c>
      <c r="Y43" s="6"/>
      <c r="Z43" s="6"/>
      <c r="AA43" s="6"/>
      <c r="AB43" s="6"/>
      <c r="AC43" s="6"/>
      <c r="AD43" s="6"/>
      <c r="AE43" s="6"/>
      <c r="AF43" s="6"/>
      <c r="AG43" s="6">
        <v>0.53</v>
      </c>
    </row>
    <row r="44" spans="1:33" ht="10.5" customHeight="1" x14ac:dyDescent="0.25">
      <c r="A44" s="6">
        <v>318</v>
      </c>
      <c r="B44" s="6" t="s">
        <v>207</v>
      </c>
      <c r="C44" s="163">
        <v>100</v>
      </c>
      <c r="M44" s="164">
        <v>100</v>
      </c>
      <c r="W44" s="6"/>
      <c r="X44" s="164">
        <v>3.5</v>
      </c>
      <c r="AG44" s="142">
        <v>1.3</v>
      </c>
    </row>
    <row r="45" spans="1:33" s="49" customFormat="1" ht="10.5" customHeight="1" x14ac:dyDescent="0.25">
      <c r="A45" s="48">
        <v>378</v>
      </c>
      <c r="B45" s="48" t="s">
        <v>164</v>
      </c>
      <c r="C45" s="48">
        <v>150</v>
      </c>
      <c r="D45" s="45"/>
      <c r="E45" s="45"/>
      <c r="F45" s="45"/>
      <c r="G45" s="45"/>
      <c r="H45" s="45"/>
      <c r="I45" s="48"/>
      <c r="J45" s="45"/>
      <c r="K45" s="45"/>
      <c r="L45" s="45"/>
      <c r="M45" s="45"/>
      <c r="N45" s="45"/>
      <c r="O45" s="45"/>
      <c r="P45" s="45">
        <v>16</v>
      </c>
      <c r="Q45" s="45"/>
      <c r="R45" s="45"/>
      <c r="S45" s="45"/>
      <c r="T45" s="45"/>
      <c r="U45" s="45"/>
      <c r="V45" s="45"/>
      <c r="W45" s="48"/>
      <c r="X45" s="45"/>
      <c r="Y45" s="45"/>
      <c r="Z45" s="45"/>
      <c r="AA45" s="45"/>
      <c r="AB45" s="45"/>
      <c r="AC45" s="45"/>
      <c r="AD45" s="45">
        <v>7</v>
      </c>
      <c r="AE45" s="45"/>
      <c r="AF45" s="45">
        <v>3.4</v>
      </c>
      <c r="AG45" s="45"/>
    </row>
    <row r="46" spans="1:33" s="47" customFormat="1" ht="10.5" customHeight="1" x14ac:dyDescent="0.25">
      <c r="A46" s="48"/>
      <c r="B46" s="48" t="s">
        <v>33</v>
      </c>
      <c r="C46" s="48">
        <v>20</v>
      </c>
      <c r="D46" s="46"/>
      <c r="E46" s="46"/>
      <c r="F46" s="46"/>
      <c r="G46" s="46"/>
      <c r="H46" s="46"/>
      <c r="I46" s="48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>
        <v>20</v>
      </c>
      <c r="U46" s="46"/>
      <c r="V46" s="46"/>
      <c r="W46" s="48"/>
      <c r="X46" s="46"/>
      <c r="Y46" s="46"/>
      <c r="Z46" s="46"/>
      <c r="AA46" s="46"/>
      <c r="AB46" s="46"/>
      <c r="AC46" s="46"/>
      <c r="AD46" s="46"/>
      <c r="AE46" s="46"/>
      <c r="AF46" s="46"/>
      <c r="AG46" s="46"/>
    </row>
    <row r="47" spans="1:33" s="47" customFormat="1" ht="10.5" customHeight="1" x14ac:dyDescent="0.25">
      <c r="A47" s="46"/>
      <c r="B47" s="46"/>
      <c r="C47" s="59">
        <f>SUM(C41:C46)</f>
        <v>565</v>
      </c>
      <c r="D47" s="46"/>
      <c r="E47" s="46"/>
      <c r="F47" s="46"/>
      <c r="G47" s="46"/>
      <c r="H47" s="46"/>
      <c r="I47" s="48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8"/>
      <c r="X47" s="46"/>
      <c r="Y47" s="46"/>
      <c r="Z47" s="46"/>
      <c r="AA47" s="46"/>
      <c r="AB47" s="46"/>
      <c r="AC47" s="46"/>
      <c r="AD47" s="46"/>
      <c r="AE47" s="46"/>
      <c r="AF47" s="46"/>
      <c r="AG47" s="46"/>
    </row>
    <row r="48" spans="1:33" s="47" customFormat="1" ht="10.5" customHeight="1" x14ac:dyDescent="0.25">
      <c r="A48" s="48"/>
      <c r="B48" s="48"/>
      <c r="C48" s="48"/>
      <c r="D48" s="46"/>
      <c r="E48" s="46"/>
      <c r="F48" s="46"/>
      <c r="G48" s="46"/>
      <c r="H48" s="46"/>
      <c r="I48" s="48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8"/>
      <c r="X48" s="46"/>
      <c r="Y48" s="46"/>
      <c r="Z48" s="46"/>
      <c r="AA48" s="46"/>
      <c r="AB48" s="46"/>
      <c r="AC48" s="46"/>
      <c r="AD48" s="46"/>
      <c r="AE48" s="46"/>
      <c r="AF48" s="46"/>
      <c r="AG48" s="46"/>
    </row>
    <row r="49" spans="1:33" ht="10.5" customHeight="1" x14ac:dyDescent="0.25">
      <c r="A49" s="6">
        <v>253</v>
      </c>
      <c r="B49" s="6" t="s">
        <v>104</v>
      </c>
      <c r="C49" s="6">
        <v>80</v>
      </c>
      <c r="D49" s="142">
        <v>0</v>
      </c>
      <c r="F49" s="5">
        <v>13</v>
      </c>
      <c r="G49" s="5">
        <v>5</v>
      </c>
      <c r="J49" s="5">
        <v>60</v>
      </c>
      <c r="N49" s="5">
        <f>13+3</f>
        <v>16</v>
      </c>
      <c r="W49" s="6">
        <v>1.17</v>
      </c>
      <c r="X49" s="5">
        <v>1.3</v>
      </c>
      <c r="Y49" s="5">
        <v>3</v>
      </c>
      <c r="AG49" s="142">
        <v>0.61</v>
      </c>
    </row>
    <row r="50" spans="1:33" s="47" customFormat="1" ht="10.5" customHeight="1" x14ac:dyDescent="0.25">
      <c r="A50" s="48">
        <v>330</v>
      </c>
      <c r="B50" s="48" t="s">
        <v>109</v>
      </c>
      <c r="C50" s="48">
        <v>120</v>
      </c>
      <c r="D50" s="46">
        <f>14*1.2</f>
        <v>16.8</v>
      </c>
      <c r="E50" s="46"/>
      <c r="F50" s="46"/>
      <c r="G50" s="46"/>
      <c r="H50" s="46"/>
      <c r="I50" s="48"/>
      <c r="J50" s="46"/>
      <c r="K50" s="46"/>
      <c r="L50" s="46"/>
      <c r="M50" s="46">
        <f>47.5*1.2</f>
        <v>57</v>
      </c>
      <c r="N50" s="46">
        <v>90</v>
      </c>
      <c r="O50" s="46"/>
      <c r="P50" s="46"/>
      <c r="Q50" s="46"/>
      <c r="R50" s="46"/>
      <c r="S50" s="46"/>
      <c r="T50" s="46"/>
      <c r="U50" s="46"/>
      <c r="V50" s="46"/>
      <c r="W50" s="48"/>
      <c r="X50" s="46">
        <f>0.7*1.2</f>
        <v>0.84</v>
      </c>
      <c r="Y50" s="46"/>
      <c r="Z50" s="46"/>
      <c r="AA50" s="46"/>
      <c r="AB50" s="46"/>
      <c r="AC50" s="46"/>
      <c r="AD50" s="46"/>
      <c r="AE50" s="46"/>
      <c r="AF50" s="46"/>
      <c r="AG50" s="46">
        <v>0.3</v>
      </c>
    </row>
    <row r="51" spans="1:33" s="58" customFormat="1" ht="10.5" customHeight="1" x14ac:dyDescent="0.25">
      <c r="A51" s="48"/>
      <c r="B51" s="48" t="s">
        <v>198</v>
      </c>
      <c r="C51" s="48">
        <v>40</v>
      </c>
      <c r="D51" s="48"/>
      <c r="E51" s="48"/>
      <c r="F51" s="48"/>
      <c r="G51" s="48"/>
      <c r="H51" s="48"/>
      <c r="I51" s="48"/>
      <c r="J51" s="48"/>
      <c r="K51" s="48"/>
      <c r="L51" s="139">
        <v>40</v>
      </c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</row>
    <row r="52" spans="1:33" s="47" customFormat="1" ht="10.5" customHeight="1" x14ac:dyDescent="0.25">
      <c r="A52" s="45">
        <v>401</v>
      </c>
      <c r="B52" s="45" t="s">
        <v>165</v>
      </c>
      <c r="C52" s="45">
        <v>150</v>
      </c>
      <c r="D52" s="46">
        <v>150</v>
      </c>
      <c r="E52" s="46"/>
      <c r="F52" s="46"/>
      <c r="G52" s="46"/>
      <c r="H52" s="46"/>
      <c r="I52" s="48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8"/>
      <c r="X52" s="46"/>
      <c r="Y52" s="46"/>
      <c r="Z52" s="46"/>
      <c r="AA52" s="46"/>
      <c r="AB52" s="46"/>
      <c r="AC52" s="46"/>
      <c r="AD52" s="46"/>
      <c r="AE52" s="46"/>
      <c r="AF52" s="46"/>
      <c r="AG52" s="46"/>
    </row>
    <row r="53" spans="1:33" s="47" customFormat="1" ht="10.5" customHeight="1" x14ac:dyDescent="0.25">
      <c r="A53" s="65">
        <v>491</v>
      </c>
      <c r="B53" s="65" t="s">
        <v>93</v>
      </c>
      <c r="C53" s="65">
        <v>37</v>
      </c>
      <c r="D53" s="52"/>
      <c r="E53" s="52"/>
      <c r="F53" s="52"/>
      <c r="G53" s="52"/>
      <c r="H53" s="52"/>
      <c r="I53" s="65"/>
      <c r="J53" s="52"/>
      <c r="K53" s="52"/>
      <c r="L53" s="144">
        <v>6.4</v>
      </c>
      <c r="M53" s="52"/>
      <c r="N53" s="144">
        <v>4.4000000000000004</v>
      </c>
      <c r="O53" s="52"/>
      <c r="P53" s="144">
        <v>4.3</v>
      </c>
      <c r="Q53" s="52"/>
      <c r="R53" s="52"/>
      <c r="S53" s="52"/>
      <c r="T53" s="52"/>
      <c r="U53" s="52"/>
      <c r="V53" s="52"/>
      <c r="W53" s="145">
        <v>11.7</v>
      </c>
      <c r="X53" s="52">
        <v>7.4</v>
      </c>
      <c r="Y53" s="144">
        <v>0.2</v>
      </c>
      <c r="Z53" s="52"/>
      <c r="AA53" s="52"/>
      <c r="AB53" s="52"/>
      <c r="AC53" s="52"/>
      <c r="AD53" s="52">
        <v>8.8000000000000007</v>
      </c>
      <c r="AE53" s="52"/>
      <c r="AF53" s="52"/>
      <c r="AG53" s="52"/>
    </row>
    <row r="54" spans="1:33" s="47" customFormat="1" ht="10.5" customHeight="1" x14ac:dyDescent="0.25">
      <c r="A54" s="48"/>
      <c r="B54" s="48" t="s">
        <v>33</v>
      </c>
      <c r="C54" s="60">
        <v>20</v>
      </c>
      <c r="D54" s="46"/>
      <c r="E54" s="46"/>
      <c r="F54" s="46"/>
      <c r="G54" s="46"/>
      <c r="H54" s="46"/>
      <c r="I54" s="48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>
        <v>20</v>
      </c>
      <c r="U54" s="46"/>
      <c r="V54" s="46"/>
      <c r="W54" s="48"/>
      <c r="X54" s="46"/>
      <c r="Y54" s="46"/>
      <c r="Z54" s="46"/>
      <c r="AA54" s="46"/>
      <c r="AB54" s="46"/>
      <c r="AC54" s="46"/>
      <c r="AD54" s="46"/>
      <c r="AE54" s="46"/>
      <c r="AF54" s="46"/>
      <c r="AG54" s="46"/>
    </row>
    <row r="55" spans="1:33" s="47" customFormat="1" ht="10.5" customHeight="1" x14ac:dyDescent="0.25">
      <c r="A55" s="45"/>
      <c r="B55" s="45"/>
      <c r="C55" s="56">
        <f>SUM(C48:C54)</f>
        <v>447</v>
      </c>
      <c r="D55" s="46"/>
      <c r="E55" s="46"/>
      <c r="F55" s="46"/>
      <c r="G55" s="46"/>
      <c r="H55" s="46"/>
      <c r="I55" s="48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8"/>
      <c r="X55" s="46"/>
      <c r="Y55" s="46"/>
      <c r="Z55" s="46"/>
      <c r="AA55" s="46"/>
      <c r="AB55" s="46"/>
      <c r="AC55" s="46"/>
      <c r="AD55" s="46"/>
      <c r="AE55" s="46"/>
      <c r="AF55" s="46"/>
      <c r="AG55" s="46"/>
    </row>
    <row r="56" spans="1:33" s="11" customFormat="1" ht="10.5" customHeight="1" x14ac:dyDescent="0.25">
      <c r="A56" s="14"/>
      <c r="B56" s="15" t="s">
        <v>79</v>
      </c>
      <c r="C56" s="14"/>
      <c r="D56" s="9">
        <f t="shared" ref="D56:AG56" si="1">SUM(D31:D55)</f>
        <v>300.5</v>
      </c>
      <c r="E56" s="9">
        <f t="shared" si="1"/>
        <v>0</v>
      </c>
      <c r="F56" s="9">
        <f t="shared" si="1"/>
        <v>25.5</v>
      </c>
      <c r="G56" s="9">
        <f t="shared" si="1"/>
        <v>5</v>
      </c>
      <c r="H56" s="9">
        <f t="shared" si="1"/>
        <v>42</v>
      </c>
      <c r="I56" s="14">
        <f t="shared" si="1"/>
        <v>74</v>
      </c>
      <c r="J56" s="9">
        <f t="shared" si="1"/>
        <v>60</v>
      </c>
      <c r="K56" s="9">
        <f t="shared" si="1"/>
        <v>0</v>
      </c>
      <c r="L56" s="9">
        <f t="shared" si="1"/>
        <v>110.4</v>
      </c>
      <c r="M56" s="9">
        <f t="shared" si="1"/>
        <v>193</v>
      </c>
      <c r="N56" s="9">
        <f t="shared" si="1"/>
        <v>199.9</v>
      </c>
      <c r="O56" s="9">
        <f t="shared" si="1"/>
        <v>0</v>
      </c>
      <c r="P56" s="9">
        <f t="shared" si="1"/>
        <v>20.3</v>
      </c>
      <c r="Q56" s="9">
        <f t="shared" si="1"/>
        <v>150</v>
      </c>
      <c r="R56" s="9">
        <f t="shared" si="1"/>
        <v>0</v>
      </c>
      <c r="S56" s="9">
        <f t="shared" si="1"/>
        <v>20</v>
      </c>
      <c r="T56" s="9">
        <f t="shared" si="1"/>
        <v>70</v>
      </c>
      <c r="U56" s="9">
        <f t="shared" si="1"/>
        <v>3.6</v>
      </c>
      <c r="V56" s="9">
        <f t="shared" si="1"/>
        <v>0</v>
      </c>
      <c r="W56" s="14">
        <f t="shared" si="1"/>
        <v>13.989999999999998</v>
      </c>
      <c r="X56" s="9">
        <f t="shared" si="1"/>
        <v>24.29</v>
      </c>
      <c r="Y56" s="9">
        <f t="shared" si="1"/>
        <v>8</v>
      </c>
      <c r="Z56" s="9">
        <f t="shared" si="1"/>
        <v>30</v>
      </c>
      <c r="AA56" s="9">
        <f t="shared" si="1"/>
        <v>0</v>
      </c>
      <c r="AB56" s="9">
        <f t="shared" si="1"/>
        <v>2.5</v>
      </c>
      <c r="AC56" s="9">
        <f t="shared" si="1"/>
        <v>0</v>
      </c>
      <c r="AD56" s="9">
        <f t="shared" si="1"/>
        <v>19.8</v>
      </c>
      <c r="AE56" s="9">
        <f t="shared" si="1"/>
        <v>0</v>
      </c>
      <c r="AF56" s="9">
        <f t="shared" si="1"/>
        <v>3.4</v>
      </c>
      <c r="AG56" s="9">
        <f t="shared" si="1"/>
        <v>3.7899999999999996</v>
      </c>
    </row>
    <row r="58" spans="1:33" s="27" customFormat="1" ht="10.5" customHeight="1" x14ac:dyDescent="0.3">
      <c r="A58" s="177" t="s">
        <v>39</v>
      </c>
      <c r="B58" s="178"/>
      <c r="C58" s="26"/>
      <c r="D58" s="26"/>
      <c r="E58" s="26"/>
      <c r="F58" s="26"/>
      <c r="G58" s="26"/>
      <c r="H58" s="26"/>
      <c r="I58" s="10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106"/>
      <c r="X58" s="26"/>
      <c r="Y58" s="26"/>
      <c r="Z58" s="26"/>
      <c r="AA58" s="26"/>
      <c r="AB58" s="26"/>
      <c r="AC58" s="26"/>
      <c r="AD58" s="26"/>
      <c r="AE58" s="26"/>
      <c r="AF58" s="26"/>
      <c r="AG58" s="26"/>
    </row>
    <row r="60" spans="1:33" s="47" customFormat="1" ht="10.5" customHeight="1" x14ac:dyDescent="0.25">
      <c r="A60" s="48">
        <v>6</v>
      </c>
      <c r="B60" s="48" t="s">
        <v>126</v>
      </c>
      <c r="C60" s="48">
        <v>35</v>
      </c>
      <c r="D60" s="46"/>
      <c r="E60" s="46"/>
      <c r="F60" s="46"/>
      <c r="G60" s="46"/>
      <c r="H60" s="46"/>
      <c r="I60" s="48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>
        <v>30</v>
      </c>
      <c r="U60" s="46"/>
      <c r="V60" s="46"/>
      <c r="W60" s="48"/>
      <c r="X60" s="46">
        <v>5</v>
      </c>
      <c r="Y60" s="46"/>
      <c r="Z60" s="46"/>
      <c r="AA60" s="46"/>
      <c r="AB60" s="46"/>
      <c r="AC60" s="46"/>
      <c r="AD60" s="46"/>
      <c r="AE60" s="46"/>
      <c r="AF60" s="46"/>
      <c r="AG60" s="46"/>
    </row>
    <row r="61" spans="1:33" s="58" customFormat="1" ht="11.25" customHeight="1" x14ac:dyDescent="0.25">
      <c r="A61" s="48">
        <v>185</v>
      </c>
      <c r="B61" s="48" t="s">
        <v>119</v>
      </c>
      <c r="C61" s="48">
        <v>130</v>
      </c>
      <c r="D61" s="48">
        <v>109.2</v>
      </c>
      <c r="E61" s="48"/>
      <c r="F61" s="48"/>
      <c r="G61" s="48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139">
        <v>13</v>
      </c>
      <c r="V61" s="48"/>
      <c r="W61" s="48"/>
      <c r="X61" s="48"/>
      <c r="Y61" s="48"/>
      <c r="Z61" s="48"/>
      <c r="AA61" s="48"/>
      <c r="AB61" s="48"/>
      <c r="AC61" s="48"/>
      <c r="AD61" s="48">
        <v>4</v>
      </c>
      <c r="AE61" s="48"/>
      <c r="AF61" s="48"/>
      <c r="AG61" s="48">
        <v>0.19</v>
      </c>
    </row>
    <row r="62" spans="1:33" s="58" customFormat="1" ht="10.5" customHeight="1" x14ac:dyDescent="0.25">
      <c r="A62" s="48"/>
      <c r="B62" s="48" t="s">
        <v>208</v>
      </c>
      <c r="C62" s="48">
        <v>50</v>
      </c>
      <c r="D62" s="48"/>
      <c r="E62" s="48"/>
      <c r="F62" s="48"/>
      <c r="G62" s="48"/>
      <c r="H62" s="48"/>
      <c r="I62" s="48"/>
      <c r="J62" s="48"/>
      <c r="K62" s="48">
        <v>46</v>
      </c>
      <c r="L62" s="48">
        <v>10</v>
      </c>
      <c r="M62" s="48"/>
      <c r="N62" s="48">
        <v>6</v>
      </c>
      <c r="O62" s="48"/>
      <c r="P62" s="48"/>
      <c r="Q62" s="48"/>
      <c r="R62" s="48"/>
      <c r="S62" s="48"/>
      <c r="T62" s="48"/>
      <c r="U62" s="48"/>
      <c r="V62" s="48"/>
      <c r="W62" s="48">
        <v>10</v>
      </c>
      <c r="X62" s="48">
        <v>6</v>
      </c>
      <c r="Y62" s="48"/>
      <c r="Z62" s="48"/>
      <c r="AA62" s="48"/>
      <c r="AB62" s="48"/>
      <c r="AC62" s="48"/>
      <c r="AD62" s="48"/>
      <c r="AE62" s="48"/>
      <c r="AF62" s="48"/>
      <c r="AG62" s="48">
        <v>1</v>
      </c>
    </row>
    <row r="63" spans="1:33" s="58" customFormat="1" ht="10.5" customHeight="1" x14ac:dyDescent="0.25">
      <c r="A63" s="48"/>
      <c r="B63" s="48" t="s">
        <v>140</v>
      </c>
      <c r="C63" s="48">
        <v>60</v>
      </c>
      <c r="D63" s="48">
        <v>13</v>
      </c>
      <c r="E63" s="48"/>
      <c r="F63" s="48"/>
      <c r="G63" s="48"/>
      <c r="H63" s="48"/>
      <c r="I63" s="48"/>
      <c r="J63" s="48"/>
      <c r="K63" s="48"/>
      <c r="L63" s="48">
        <v>32</v>
      </c>
      <c r="M63" s="48"/>
      <c r="N63" s="48">
        <v>19</v>
      </c>
      <c r="O63" s="48"/>
      <c r="P63" s="48"/>
      <c r="Q63" s="48"/>
      <c r="R63" s="48"/>
      <c r="S63" s="48"/>
      <c r="T63" s="48"/>
      <c r="U63" s="48"/>
      <c r="V63" s="48"/>
      <c r="W63" s="48"/>
      <c r="X63" s="48">
        <v>3</v>
      </c>
      <c r="Y63" s="48"/>
      <c r="Z63" s="48"/>
      <c r="AA63" s="48"/>
      <c r="AB63" s="48"/>
      <c r="AC63" s="48"/>
      <c r="AD63" s="48"/>
      <c r="AE63" s="48"/>
      <c r="AF63" s="48"/>
      <c r="AG63" s="139">
        <v>0.2</v>
      </c>
    </row>
    <row r="64" spans="1:33" s="49" customFormat="1" ht="10.5" customHeight="1" x14ac:dyDescent="0.25">
      <c r="A64" s="48">
        <v>395</v>
      </c>
      <c r="B64" s="48" t="s">
        <v>31</v>
      </c>
      <c r="C64" s="6">
        <v>150</v>
      </c>
      <c r="D64" s="45">
        <v>75</v>
      </c>
      <c r="E64" s="45"/>
      <c r="F64" s="45"/>
      <c r="G64" s="45"/>
      <c r="H64" s="45"/>
      <c r="I64" s="48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8"/>
      <c r="X64" s="45"/>
      <c r="Y64" s="45"/>
      <c r="Z64" s="45"/>
      <c r="AA64" s="45"/>
      <c r="AB64" s="45"/>
      <c r="AC64" s="45">
        <v>3.3</v>
      </c>
      <c r="AD64" s="45">
        <v>4</v>
      </c>
      <c r="AE64" s="45"/>
      <c r="AF64" s="45"/>
      <c r="AG64" s="45"/>
    </row>
    <row r="65" spans="1:33" s="47" customFormat="1" ht="10.5" customHeight="1" x14ac:dyDescent="0.25">
      <c r="A65" s="45"/>
      <c r="B65" s="45" t="s">
        <v>151</v>
      </c>
      <c r="C65" s="45">
        <v>20</v>
      </c>
      <c r="D65" s="46"/>
      <c r="E65" s="46"/>
      <c r="F65" s="46"/>
      <c r="G65" s="46"/>
      <c r="H65" s="46"/>
      <c r="I65" s="48"/>
      <c r="J65" s="46"/>
      <c r="K65" s="46"/>
      <c r="L65" s="46"/>
      <c r="M65" s="46"/>
      <c r="N65" s="46"/>
      <c r="O65" s="46"/>
      <c r="P65" s="46"/>
      <c r="Q65" s="46"/>
      <c r="R65" s="46"/>
      <c r="S65" s="46">
        <v>20</v>
      </c>
      <c r="T65" s="46"/>
      <c r="U65" s="46"/>
      <c r="V65" s="46"/>
      <c r="W65" s="48"/>
      <c r="X65" s="46"/>
      <c r="Y65" s="46"/>
      <c r="Z65" s="46"/>
      <c r="AA65" s="46"/>
      <c r="AB65" s="46"/>
      <c r="AC65" s="46"/>
      <c r="AD65" s="46"/>
      <c r="AE65" s="46"/>
      <c r="AF65" s="46"/>
      <c r="AG65" s="46"/>
    </row>
    <row r="66" spans="1:33" s="47" customFormat="1" ht="10.5" customHeight="1" x14ac:dyDescent="0.25">
      <c r="A66" s="48"/>
      <c r="B66" s="45"/>
      <c r="C66" s="56">
        <f>SUM(C59:C65)</f>
        <v>445</v>
      </c>
      <c r="D66" s="46"/>
      <c r="E66" s="46"/>
      <c r="F66" s="46"/>
      <c r="G66" s="46"/>
      <c r="H66" s="46"/>
      <c r="I66" s="48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8"/>
      <c r="X66" s="46"/>
      <c r="Y66" s="46"/>
      <c r="Z66" s="46"/>
      <c r="AA66" s="46"/>
      <c r="AB66" s="46"/>
      <c r="AC66" s="46"/>
      <c r="AD66" s="46"/>
      <c r="AE66" s="46"/>
      <c r="AF66" s="46"/>
      <c r="AG66" s="46"/>
    </row>
    <row r="67" spans="1:33" s="58" customFormat="1" ht="10.5" customHeight="1" x14ac:dyDescent="0.25">
      <c r="A67" s="48">
        <v>368</v>
      </c>
      <c r="B67" s="48" t="s">
        <v>37</v>
      </c>
      <c r="C67" s="48">
        <v>95</v>
      </c>
      <c r="D67" s="48"/>
      <c r="E67" s="48"/>
      <c r="F67" s="48"/>
      <c r="G67" s="48"/>
      <c r="H67" s="48"/>
      <c r="I67" s="48"/>
      <c r="J67" s="48"/>
      <c r="K67" s="48"/>
      <c r="L67" s="48"/>
      <c r="M67" s="48"/>
      <c r="N67" s="48"/>
      <c r="O67" s="48">
        <v>95</v>
      </c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</row>
    <row r="68" spans="1:33" s="58" customFormat="1" ht="10.5" customHeight="1" x14ac:dyDescent="0.25">
      <c r="A68" s="48">
        <v>399</v>
      </c>
      <c r="B68" s="48" t="s">
        <v>169</v>
      </c>
      <c r="C68" s="48">
        <v>150</v>
      </c>
      <c r="D68" s="48"/>
      <c r="E68" s="48"/>
      <c r="F68" s="48"/>
      <c r="G68" s="48"/>
      <c r="H68" s="48"/>
      <c r="I68" s="48"/>
      <c r="J68" s="48"/>
      <c r="K68" s="48"/>
      <c r="L68" s="48"/>
      <c r="M68" s="48"/>
      <c r="N68" s="48"/>
      <c r="O68" s="48"/>
      <c r="P68" s="48"/>
      <c r="Q68" s="139">
        <v>150</v>
      </c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</row>
    <row r="69" spans="1:33" s="49" customFormat="1" ht="10.5" customHeight="1" x14ac:dyDescent="0.25">
      <c r="A69" s="45"/>
      <c r="B69" s="68"/>
      <c r="C69" s="45"/>
      <c r="D69" s="45"/>
      <c r="E69" s="45"/>
      <c r="F69" s="45"/>
      <c r="G69" s="45"/>
      <c r="H69" s="45"/>
      <c r="I69" s="48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8"/>
      <c r="X69" s="45"/>
      <c r="Y69" s="45"/>
      <c r="Z69" s="45"/>
      <c r="AA69" s="45"/>
      <c r="AB69" s="45"/>
      <c r="AC69" s="45"/>
      <c r="AD69" s="45"/>
      <c r="AE69" s="45"/>
      <c r="AF69" s="45"/>
      <c r="AG69" s="45"/>
    </row>
    <row r="70" spans="1:33" ht="10.5" customHeight="1" x14ac:dyDescent="0.25">
      <c r="A70" s="6">
        <v>41</v>
      </c>
      <c r="B70" s="6" t="s">
        <v>137</v>
      </c>
      <c r="C70" s="6">
        <v>40</v>
      </c>
      <c r="N70" s="5">
        <f>53*0.4</f>
        <v>21.200000000000003</v>
      </c>
      <c r="O70" s="5">
        <f>43*0.4</f>
        <v>17.2</v>
      </c>
      <c r="W70" s="6"/>
      <c r="Y70" s="5">
        <v>2</v>
      </c>
      <c r="AD70" s="5">
        <v>1</v>
      </c>
    </row>
    <row r="71" spans="1:33" s="18" customFormat="1" ht="10.5" customHeight="1" x14ac:dyDescent="0.25">
      <c r="A71" s="6">
        <v>71</v>
      </c>
      <c r="B71" s="6" t="s">
        <v>96</v>
      </c>
      <c r="C71" s="6">
        <v>180</v>
      </c>
      <c r="D71" s="22"/>
      <c r="E71" s="22"/>
      <c r="F71" s="22"/>
      <c r="G71" s="22"/>
      <c r="H71" s="22"/>
      <c r="I71" s="6"/>
      <c r="J71" s="22"/>
      <c r="K71" s="22"/>
      <c r="L71" s="22"/>
      <c r="M71" s="22">
        <f>25*180/250</f>
        <v>18</v>
      </c>
      <c r="N71" s="141">
        <v>52.2</v>
      </c>
      <c r="O71" s="22"/>
      <c r="P71" s="22"/>
      <c r="Q71" s="22"/>
      <c r="R71" s="22"/>
      <c r="S71" s="22"/>
      <c r="T71" s="22"/>
      <c r="U71" s="22"/>
      <c r="V71" s="22"/>
      <c r="W71" s="6"/>
      <c r="X71" s="22"/>
      <c r="Y71" s="22">
        <v>3</v>
      </c>
      <c r="Z71" s="22"/>
      <c r="AA71" s="22"/>
      <c r="AB71" s="22"/>
      <c r="AC71" s="22"/>
      <c r="AD71" s="22"/>
      <c r="AE71" s="22"/>
      <c r="AF71" s="22"/>
      <c r="AG71" s="22">
        <v>0.15</v>
      </c>
    </row>
    <row r="72" spans="1:33" s="18" customFormat="1" ht="10.5" customHeight="1" x14ac:dyDescent="0.25">
      <c r="A72" s="6">
        <v>277</v>
      </c>
      <c r="B72" s="6" t="s">
        <v>127</v>
      </c>
      <c r="C72" s="6">
        <v>60</v>
      </c>
      <c r="D72" s="22">
        <v>12</v>
      </c>
      <c r="E72" s="22"/>
      <c r="F72" s="22"/>
      <c r="G72" s="22"/>
      <c r="H72" s="22">
        <v>73</v>
      </c>
      <c r="I72" s="6"/>
      <c r="J72" s="22"/>
      <c r="K72" s="22"/>
      <c r="L72" s="22">
        <v>7</v>
      </c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6"/>
      <c r="X72" s="141">
        <v>1</v>
      </c>
      <c r="Y72" s="22"/>
      <c r="Z72" s="22"/>
      <c r="AA72" s="22"/>
      <c r="AB72" s="22"/>
      <c r="AC72" s="22"/>
      <c r="AD72" s="22"/>
      <c r="AE72" s="22"/>
      <c r="AF72" s="22"/>
      <c r="AG72" s="22">
        <v>0.4</v>
      </c>
    </row>
    <row r="73" spans="1:33" s="18" customFormat="1" ht="10.5" customHeight="1" x14ac:dyDescent="0.25">
      <c r="A73" s="6">
        <v>313</v>
      </c>
      <c r="B73" s="6" t="s">
        <v>153</v>
      </c>
      <c r="C73" s="6">
        <v>100</v>
      </c>
      <c r="D73" s="22"/>
      <c r="E73" s="22"/>
      <c r="F73" s="22"/>
      <c r="G73" s="22"/>
      <c r="H73" s="22"/>
      <c r="I73" s="6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141">
        <v>35.6</v>
      </c>
      <c r="V73" s="22"/>
      <c r="W73" s="6"/>
      <c r="X73" s="22">
        <v>3</v>
      </c>
      <c r="Y73" s="22"/>
      <c r="Z73" s="22"/>
      <c r="AA73" s="22"/>
      <c r="AB73" s="22"/>
      <c r="AC73" s="22"/>
      <c r="AD73" s="22"/>
      <c r="AE73" s="22"/>
      <c r="AF73" s="22"/>
      <c r="AG73" s="141">
        <v>0.2</v>
      </c>
    </row>
    <row r="74" spans="1:33" ht="10.5" customHeight="1" x14ac:dyDescent="0.25">
      <c r="A74" s="6">
        <v>376</v>
      </c>
      <c r="B74" s="6" t="s">
        <v>159</v>
      </c>
      <c r="C74" s="6">
        <v>150</v>
      </c>
      <c r="Q74" s="5">
        <v>45</v>
      </c>
      <c r="W74" s="6"/>
      <c r="AD74" s="5">
        <v>7</v>
      </c>
      <c r="AF74" s="142">
        <v>4</v>
      </c>
    </row>
    <row r="75" spans="1:33" s="49" customFormat="1" ht="10.5" customHeight="1" x14ac:dyDescent="0.25">
      <c r="A75" s="48"/>
      <c r="B75" s="48" t="s">
        <v>33</v>
      </c>
      <c r="C75" s="48">
        <v>20</v>
      </c>
      <c r="D75" s="45"/>
      <c r="E75" s="45"/>
      <c r="F75" s="45"/>
      <c r="G75" s="45"/>
      <c r="H75" s="45"/>
      <c r="I75" s="48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>
        <v>20</v>
      </c>
      <c r="U75" s="45"/>
      <c r="V75" s="45"/>
      <c r="W75" s="48"/>
      <c r="X75" s="45"/>
      <c r="Y75" s="45"/>
      <c r="Z75" s="45"/>
      <c r="AA75" s="45"/>
      <c r="AB75" s="45"/>
      <c r="AC75" s="45"/>
      <c r="AD75" s="45"/>
      <c r="AE75" s="45"/>
      <c r="AF75" s="45"/>
      <c r="AG75" s="45"/>
    </row>
    <row r="76" spans="1:33" s="49" customFormat="1" ht="10.5" customHeight="1" x14ac:dyDescent="0.25">
      <c r="A76" s="45"/>
      <c r="B76" s="68"/>
      <c r="C76" s="56">
        <f>SUM(C70:C75)</f>
        <v>550</v>
      </c>
      <c r="D76" s="45"/>
      <c r="E76" s="45"/>
      <c r="F76" s="45"/>
      <c r="G76" s="45"/>
      <c r="H76" s="45"/>
      <c r="I76" s="48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8"/>
      <c r="X76" s="45"/>
      <c r="Y76" s="45"/>
      <c r="Z76" s="45"/>
      <c r="AA76" s="45"/>
      <c r="AB76" s="45"/>
      <c r="AC76" s="45"/>
      <c r="AD76" s="45"/>
      <c r="AE76" s="45"/>
      <c r="AF76" s="45"/>
      <c r="AG76" s="45"/>
    </row>
    <row r="77" spans="1:33" s="105" customFormat="1" ht="10.5" customHeight="1" x14ac:dyDescent="0.25">
      <c r="A77" s="6">
        <v>55</v>
      </c>
      <c r="B77" s="6" t="s">
        <v>95</v>
      </c>
      <c r="C77" s="6">
        <v>40</v>
      </c>
      <c r="D77" s="6"/>
      <c r="E77" s="6"/>
      <c r="F77" s="6"/>
      <c r="G77" s="6"/>
      <c r="H77" s="6"/>
      <c r="I77" s="6"/>
      <c r="J77" s="6"/>
      <c r="K77" s="6"/>
      <c r="L77" s="6"/>
      <c r="M77" s="6"/>
      <c r="N77" s="126">
        <v>39.4</v>
      </c>
      <c r="O77" s="6"/>
      <c r="P77" s="6"/>
      <c r="Q77" s="6"/>
      <c r="R77" s="6"/>
      <c r="S77" s="6"/>
      <c r="T77" s="6"/>
      <c r="U77" s="6"/>
      <c r="V77" s="6"/>
      <c r="W77" s="6"/>
      <c r="X77" s="6"/>
      <c r="Y77" s="126">
        <v>2.2000000000000002</v>
      </c>
      <c r="Z77" s="6"/>
      <c r="AA77" s="6"/>
      <c r="AB77" s="6"/>
      <c r="AC77" s="6"/>
      <c r="AD77" s="6">
        <v>0.48</v>
      </c>
      <c r="AE77" s="6"/>
      <c r="AF77" s="6"/>
      <c r="AG77" s="141">
        <v>0.3</v>
      </c>
    </row>
    <row r="78" spans="1:33" s="105" customFormat="1" ht="10.5" customHeight="1" x14ac:dyDescent="0.25">
      <c r="A78" s="6">
        <v>261</v>
      </c>
      <c r="B78" s="6" t="s">
        <v>106</v>
      </c>
      <c r="C78" s="6">
        <v>60</v>
      </c>
      <c r="D78" s="6">
        <v>16.5</v>
      </c>
      <c r="E78" s="6"/>
      <c r="F78" s="6"/>
      <c r="G78" s="6"/>
      <c r="H78" s="6"/>
      <c r="I78" s="6"/>
      <c r="J78" s="6">
        <v>40.5</v>
      </c>
      <c r="K78" s="6"/>
      <c r="L78" s="6"/>
      <c r="M78" s="6"/>
      <c r="N78" s="6"/>
      <c r="O78" s="6"/>
      <c r="P78" s="6"/>
      <c r="Q78" s="6"/>
      <c r="R78" s="6"/>
      <c r="S78" s="6"/>
      <c r="T78" s="141">
        <v>10</v>
      </c>
      <c r="U78" s="6"/>
      <c r="V78" s="6"/>
      <c r="W78" s="141">
        <v>3.3</v>
      </c>
      <c r="X78" s="6"/>
      <c r="Y78" s="141">
        <v>2.2000000000000002</v>
      </c>
      <c r="Z78" s="6"/>
      <c r="AA78" s="6"/>
      <c r="AB78" s="6"/>
      <c r="AC78" s="6"/>
      <c r="AD78" s="6"/>
      <c r="AE78" s="6"/>
      <c r="AF78" s="6"/>
      <c r="AG78" s="141">
        <v>0.3</v>
      </c>
    </row>
    <row r="79" spans="1:33" s="18" customFormat="1" ht="10.5" customHeight="1" x14ac:dyDescent="0.25">
      <c r="A79" s="6">
        <v>319</v>
      </c>
      <c r="B79" s="6" t="s">
        <v>85</v>
      </c>
      <c r="C79" s="6">
        <v>120</v>
      </c>
      <c r="D79" s="22">
        <v>40</v>
      </c>
      <c r="E79" s="22"/>
      <c r="F79" s="22"/>
      <c r="G79" s="22"/>
      <c r="H79" s="22"/>
      <c r="I79" s="6"/>
      <c r="J79" s="22"/>
      <c r="K79" s="22"/>
      <c r="L79" s="22"/>
      <c r="M79" s="22">
        <f>75*1.2</f>
        <v>90</v>
      </c>
      <c r="N79" s="22"/>
      <c r="O79" s="22"/>
      <c r="P79" s="22"/>
      <c r="Q79" s="22"/>
      <c r="R79" s="22"/>
      <c r="S79" s="22"/>
      <c r="T79" s="22"/>
      <c r="U79" s="22"/>
      <c r="V79" s="22"/>
      <c r="W79" s="6">
        <v>1.2</v>
      </c>
      <c r="X79" s="22">
        <v>2.4</v>
      </c>
      <c r="Y79" s="22"/>
      <c r="Z79" s="22"/>
      <c r="AA79" s="22"/>
      <c r="AB79" s="22"/>
      <c r="AC79" s="22"/>
      <c r="AD79" s="22"/>
      <c r="AE79" s="22"/>
      <c r="AF79" s="22"/>
      <c r="AG79" s="141">
        <v>0.5</v>
      </c>
    </row>
    <row r="80" spans="1:33" s="47" customFormat="1" ht="10.5" customHeight="1" x14ac:dyDescent="0.25">
      <c r="A80" s="48">
        <v>460</v>
      </c>
      <c r="B80" s="48" t="s">
        <v>154</v>
      </c>
      <c r="C80" s="48">
        <v>35</v>
      </c>
      <c r="D80" s="46"/>
      <c r="E80" s="46"/>
      <c r="F80" s="46"/>
      <c r="G80" s="46"/>
      <c r="H80" s="46"/>
      <c r="I80" s="48"/>
      <c r="J80" s="46"/>
      <c r="K80" s="46"/>
      <c r="L80" s="140">
        <v>0.72</v>
      </c>
      <c r="M80" s="46"/>
      <c r="N80" s="46"/>
      <c r="O80" s="140">
        <v>12</v>
      </c>
      <c r="P80" s="46"/>
      <c r="Q80" s="46"/>
      <c r="R80" s="46"/>
      <c r="S80" s="46"/>
      <c r="T80" s="46"/>
      <c r="U80" s="46"/>
      <c r="V80" s="46"/>
      <c r="W80" s="139">
        <v>17.91</v>
      </c>
      <c r="X80" s="46"/>
      <c r="Y80" s="140">
        <v>0.25</v>
      </c>
      <c r="Z80" s="46"/>
      <c r="AA80" s="46"/>
      <c r="AB80" s="46"/>
      <c r="AC80" s="46"/>
      <c r="AD80" s="140">
        <v>1.2</v>
      </c>
      <c r="AE80" s="140">
        <v>0.51</v>
      </c>
      <c r="AF80" s="46"/>
      <c r="AG80" s="140">
        <v>0.27</v>
      </c>
    </row>
    <row r="81" spans="1:33" s="47" customFormat="1" ht="10.5" customHeight="1" x14ac:dyDescent="0.25">
      <c r="A81" s="48">
        <v>394</v>
      </c>
      <c r="B81" s="48" t="s">
        <v>222</v>
      </c>
      <c r="C81" s="48">
        <v>160</v>
      </c>
      <c r="D81" s="46">
        <v>97</v>
      </c>
      <c r="E81" s="46"/>
      <c r="F81" s="46"/>
      <c r="G81" s="46"/>
      <c r="H81" s="46"/>
      <c r="I81" s="48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8"/>
      <c r="X81" s="46"/>
      <c r="Y81" s="46"/>
      <c r="Z81" s="46"/>
      <c r="AA81" s="140">
        <v>0.75</v>
      </c>
      <c r="AB81" s="46"/>
      <c r="AC81" s="46"/>
      <c r="AD81" s="46">
        <v>5</v>
      </c>
      <c r="AE81" s="46"/>
      <c r="AF81" s="46"/>
      <c r="AG81" s="46"/>
    </row>
    <row r="82" spans="1:33" s="49" customFormat="1" ht="10.5" customHeight="1" x14ac:dyDescent="0.25">
      <c r="A82" s="48"/>
      <c r="B82" s="48" t="s">
        <v>33</v>
      </c>
      <c r="C82" s="48">
        <v>20</v>
      </c>
      <c r="D82" s="45"/>
      <c r="E82" s="45"/>
      <c r="F82" s="45"/>
      <c r="G82" s="45"/>
      <c r="H82" s="45"/>
      <c r="I82" s="48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>
        <v>20</v>
      </c>
      <c r="U82" s="45"/>
      <c r="V82" s="45"/>
      <c r="W82" s="48"/>
      <c r="X82" s="45"/>
      <c r="Y82" s="45"/>
      <c r="Z82" s="45"/>
      <c r="AA82" s="45"/>
      <c r="AB82" s="45"/>
      <c r="AC82" s="45"/>
      <c r="AD82" s="45"/>
      <c r="AE82" s="45"/>
      <c r="AF82" s="45"/>
      <c r="AG82" s="45"/>
    </row>
    <row r="83" spans="1:33" s="47" customFormat="1" ht="10.5" customHeight="1" x14ac:dyDescent="0.25">
      <c r="A83" s="45"/>
      <c r="B83" s="45" t="s">
        <v>151</v>
      </c>
      <c r="C83" s="45">
        <v>20</v>
      </c>
      <c r="D83" s="46"/>
      <c r="E83" s="46"/>
      <c r="F83" s="46"/>
      <c r="G83" s="46"/>
      <c r="H83" s="46"/>
      <c r="I83" s="48"/>
      <c r="J83" s="46"/>
      <c r="K83" s="46"/>
      <c r="L83" s="46"/>
      <c r="M83" s="46"/>
      <c r="N83" s="46"/>
      <c r="O83" s="46"/>
      <c r="P83" s="46"/>
      <c r="Q83" s="46"/>
      <c r="R83" s="46"/>
      <c r="S83" s="46">
        <v>20</v>
      </c>
      <c r="T83" s="46"/>
      <c r="U83" s="46"/>
      <c r="V83" s="46"/>
      <c r="W83" s="48"/>
      <c r="X83" s="46"/>
      <c r="Y83" s="46"/>
      <c r="Z83" s="46"/>
      <c r="AA83" s="46"/>
      <c r="AB83" s="46"/>
      <c r="AC83" s="46"/>
      <c r="AD83" s="46"/>
      <c r="AE83" s="46"/>
      <c r="AF83" s="46"/>
      <c r="AG83" s="46"/>
    </row>
    <row r="84" spans="1:33" s="18" customFormat="1" ht="10.5" customHeight="1" x14ac:dyDescent="0.25">
      <c r="A84" s="22"/>
      <c r="B84" s="22"/>
      <c r="C84" s="42">
        <f>SUM(C77:C83)</f>
        <v>455</v>
      </c>
      <c r="D84" s="22"/>
      <c r="E84" s="22"/>
      <c r="F84" s="22"/>
      <c r="G84" s="22"/>
      <c r="H84" s="22"/>
      <c r="I84" s="6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48"/>
      <c r="X84" s="22"/>
      <c r="Y84" s="22"/>
      <c r="Z84" s="22"/>
      <c r="AA84" s="22"/>
      <c r="AB84" s="22"/>
      <c r="AC84" s="22"/>
      <c r="AD84" s="22"/>
      <c r="AE84" s="22"/>
      <c r="AF84" s="22"/>
      <c r="AG84" s="22"/>
    </row>
    <row r="85" spans="1:33" s="11" customFormat="1" ht="10.5" customHeight="1" x14ac:dyDescent="0.25">
      <c r="A85" s="9"/>
      <c r="B85" s="17" t="s">
        <v>79</v>
      </c>
      <c r="C85" s="9"/>
      <c r="D85" s="9">
        <f t="shared" ref="D85:AG85" si="2">SUM(D59:D84)</f>
        <v>362.7</v>
      </c>
      <c r="E85" s="9">
        <f t="shared" si="2"/>
        <v>0</v>
      </c>
      <c r="F85" s="9">
        <f t="shared" si="2"/>
        <v>0</v>
      </c>
      <c r="G85" s="9">
        <f t="shared" si="2"/>
        <v>0</v>
      </c>
      <c r="H85" s="9">
        <f t="shared" si="2"/>
        <v>73</v>
      </c>
      <c r="I85" s="14">
        <f t="shared" si="2"/>
        <v>0</v>
      </c>
      <c r="J85" s="9">
        <f t="shared" si="2"/>
        <v>40.5</v>
      </c>
      <c r="K85" s="9">
        <f t="shared" si="2"/>
        <v>46</v>
      </c>
      <c r="L85" s="9">
        <f t="shared" si="2"/>
        <v>49.72</v>
      </c>
      <c r="M85" s="9">
        <f t="shared" si="2"/>
        <v>108</v>
      </c>
      <c r="N85" s="9">
        <f t="shared" si="2"/>
        <v>137.80000000000001</v>
      </c>
      <c r="O85" s="9">
        <f t="shared" si="2"/>
        <v>124.2</v>
      </c>
      <c r="P85" s="9">
        <f t="shared" si="2"/>
        <v>0</v>
      </c>
      <c r="Q85" s="9">
        <f t="shared" si="2"/>
        <v>195</v>
      </c>
      <c r="R85" s="9">
        <f t="shared" si="2"/>
        <v>0</v>
      </c>
      <c r="S85" s="9">
        <f t="shared" si="2"/>
        <v>40</v>
      </c>
      <c r="T85" s="9">
        <f t="shared" si="2"/>
        <v>80</v>
      </c>
      <c r="U85" s="9">
        <f t="shared" si="2"/>
        <v>48.6</v>
      </c>
      <c r="V85" s="9">
        <f t="shared" si="2"/>
        <v>0</v>
      </c>
      <c r="W85" s="14">
        <f t="shared" si="2"/>
        <v>32.409999999999997</v>
      </c>
      <c r="X85" s="9">
        <f t="shared" si="2"/>
        <v>20.399999999999999</v>
      </c>
      <c r="Y85" s="9">
        <f t="shared" si="2"/>
        <v>9.65</v>
      </c>
      <c r="Z85" s="9">
        <f t="shared" si="2"/>
        <v>0</v>
      </c>
      <c r="AA85" s="9">
        <f t="shared" si="2"/>
        <v>0.75</v>
      </c>
      <c r="AB85" s="9">
        <f t="shared" si="2"/>
        <v>0</v>
      </c>
      <c r="AC85" s="9">
        <f t="shared" si="2"/>
        <v>3.3</v>
      </c>
      <c r="AD85" s="9">
        <f t="shared" si="2"/>
        <v>22.68</v>
      </c>
      <c r="AE85" s="9">
        <f t="shared" si="2"/>
        <v>0.51</v>
      </c>
      <c r="AF85" s="9">
        <f t="shared" si="2"/>
        <v>4</v>
      </c>
      <c r="AG85" s="9">
        <f t="shared" si="2"/>
        <v>3.51</v>
      </c>
    </row>
    <row r="86" spans="1:33" ht="10.5" customHeight="1" x14ac:dyDescent="0.3">
      <c r="A86" s="181" t="s">
        <v>40</v>
      </c>
      <c r="B86" s="182"/>
    </row>
    <row r="87" spans="1:33" s="47" customFormat="1" ht="10.5" customHeight="1" x14ac:dyDescent="0.25">
      <c r="A87" s="48">
        <v>7</v>
      </c>
      <c r="B87" s="48" t="s">
        <v>166</v>
      </c>
      <c r="C87" s="48">
        <v>10</v>
      </c>
      <c r="D87" s="46"/>
      <c r="E87" s="46"/>
      <c r="F87" s="46"/>
      <c r="G87" s="46">
        <v>10</v>
      </c>
      <c r="H87" s="46"/>
      <c r="I87" s="48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8"/>
      <c r="X87" s="46"/>
      <c r="Y87" s="46"/>
      <c r="Z87" s="46"/>
      <c r="AA87" s="46"/>
      <c r="AB87" s="46"/>
      <c r="AC87" s="46"/>
      <c r="AD87" s="46"/>
      <c r="AE87" s="46"/>
      <c r="AF87" s="46"/>
      <c r="AG87" s="46"/>
    </row>
    <row r="88" spans="1:33" s="49" customFormat="1" ht="10.5" customHeight="1" x14ac:dyDescent="0.25">
      <c r="A88" s="48">
        <v>92</v>
      </c>
      <c r="B88" s="69" t="s">
        <v>114</v>
      </c>
      <c r="C88" s="48">
        <v>180</v>
      </c>
      <c r="D88" s="45">
        <v>135</v>
      </c>
      <c r="E88" s="45"/>
      <c r="F88" s="45"/>
      <c r="G88" s="45"/>
      <c r="H88" s="45"/>
      <c r="I88" s="48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117">
        <v>10.8</v>
      </c>
      <c r="V88" s="117"/>
      <c r="W88" s="117"/>
      <c r="X88" s="117">
        <v>2</v>
      </c>
      <c r="Y88" s="117"/>
      <c r="Z88" s="117"/>
      <c r="AA88" s="117"/>
      <c r="AB88" s="117"/>
      <c r="AC88" s="117"/>
      <c r="AD88" s="117">
        <v>5</v>
      </c>
      <c r="AE88" s="45"/>
      <c r="AF88" s="45"/>
      <c r="AG88" s="45">
        <v>0.15</v>
      </c>
    </row>
    <row r="89" spans="1:33" s="47" customFormat="1" ht="10.5" customHeight="1" x14ac:dyDescent="0.25">
      <c r="A89" s="48">
        <v>394</v>
      </c>
      <c r="B89" s="48" t="s">
        <v>224</v>
      </c>
      <c r="C89" s="48">
        <v>160</v>
      </c>
      <c r="D89" s="46">
        <v>97</v>
      </c>
      <c r="E89" s="46"/>
      <c r="F89" s="46"/>
      <c r="G89" s="46"/>
      <c r="H89" s="46"/>
      <c r="I89" s="48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8"/>
      <c r="X89" s="46"/>
      <c r="Y89" s="46"/>
      <c r="Z89" s="46"/>
      <c r="AA89" s="140">
        <v>0.75</v>
      </c>
      <c r="AB89" s="46"/>
      <c r="AC89" s="46"/>
      <c r="AD89" s="46">
        <v>5</v>
      </c>
      <c r="AE89" s="46"/>
      <c r="AF89" s="46"/>
      <c r="AG89" s="46"/>
    </row>
    <row r="90" spans="1:33" s="47" customFormat="1" ht="10.5" customHeight="1" x14ac:dyDescent="0.25">
      <c r="A90" s="48"/>
      <c r="B90" s="48" t="s">
        <v>151</v>
      </c>
      <c r="C90" s="48">
        <v>40</v>
      </c>
      <c r="D90" s="46"/>
      <c r="E90" s="46"/>
      <c r="F90" s="46"/>
      <c r="G90" s="46"/>
      <c r="H90" s="46"/>
      <c r="I90" s="48"/>
      <c r="J90" s="46"/>
      <c r="K90" s="46"/>
      <c r="L90" s="46"/>
      <c r="M90" s="46"/>
      <c r="N90" s="46"/>
      <c r="O90" s="46"/>
      <c r="P90" s="46"/>
      <c r="Q90" s="46"/>
      <c r="R90" s="46"/>
      <c r="S90" s="46">
        <v>40</v>
      </c>
      <c r="T90" s="46"/>
      <c r="U90" s="46"/>
      <c r="V90" s="46"/>
      <c r="W90" s="48"/>
      <c r="X90" s="46"/>
      <c r="Y90" s="46"/>
      <c r="Z90" s="46"/>
      <c r="AA90" s="46"/>
      <c r="AB90" s="46"/>
      <c r="AC90" s="46"/>
      <c r="AD90" s="46"/>
      <c r="AE90" s="46"/>
      <c r="AF90" s="46"/>
      <c r="AG90" s="46"/>
    </row>
    <row r="92" spans="1:33" s="47" customFormat="1" ht="10.5" customHeight="1" x14ac:dyDescent="0.25">
      <c r="A92" s="51"/>
      <c r="B92" s="51"/>
      <c r="C92" s="70">
        <f>SUM(C87:C91)</f>
        <v>390</v>
      </c>
      <c r="D92" s="46"/>
      <c r="E92" s="46"/>
      <c r="F92" s="46"/>
      <c r="G92" s="46"/>
      <c r="H92" s="46"/>
      <c r="I92" s="48"/>
      <c r="J92" s="46"/>
      <c r="K92" s="46"/>
      <c r="L92" s="46"/>
      <c r="M92" s="46"/>
      <c r="N92" s="46"/>
      <c r="O92" s="46"/>
      <c r="P92" s="52"/>
      <c r="Q92" s="52"/>
      <c r="R92" s="52"/>
      <c r="S92" s="52"/>
      <c r="T92" s="52"/>
      <c r="U92" s="52"/>
      <c r="V92" s="52"/>
      <c r="W92" s="65"/>
      <c r="X92" s="52"/>
      <c r="Y92" s="52"/>
      <c r="Z92" s="52"/>
      <c r="AA92" s="52"/>
      <c r="AB92" s="52"/>
      <c r="AC92" s="52"/>
      <c r="AD92" s="52"/>
      <c r="AE92" s="52"/>
      <c r="AF92" s="52"/>
      <c r="AG92" s="52"/>
    </row>
    <row r="94" spans="1:33" s="58" customFormat="1" ht="10.5" customHeight="1" x14ac:dyDescent="0.25">
      <c r="A94" s="48">
        <v>368</v>
      </c>
      <c r="B94" s="48" t="s">
        <v>37</v>
      </c>
      <c r="C94" s="48">
        <v>95</v>
      </c>
      <c r="D94" s="48"/>
      <c r="E94" s="48"/>
      <c r="F94" s="48"/>
      <c r="G94" s="48"/>
      <c r="H94" s="48"/>
      <c r="I94" s="48"/>
      <c r="J94" s="48"/>
      <c r="K94" s="48"/>
      <c r="L94" s="48"/>
      <c r="M94" s="48"/>
      <c r="N94" s="48"/>
      <c r="O94" s="48">
        <v>95</v>
      </c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</row>
    <row r="96" spans="1:33" s="47" customFormat="1" ht="10.5" customHeight="1" x14ac:dyDescent="0.25">
      <c r="A96" s="48">
        <v>80</v>
      </c>
      <c r="B96" s="48" t="s">
        <v>97</v>
      </c>
      <c r="C96" s="48">
        <v>180</v>
      </c>
      <c r="D96" s="48"/>
      <c r="E96" s="48"/>
      <c r="F96" s="48"/>
      <c r="G96" s="48"/>
      <c r="H96" s="48"/>
      <c r="I96" s="48"/>
      <c r="J96" s="48"/>
      <c r="K96" s="48"/>
      <c r="L96" s="48"/>
      <c r="M96" s="48">
        <v>54</v>
      </c>
      <c r="N96" s="48">
        <v>14.4</v>
      </c>
      <c r="O96" s="48"/>
      <c r="P96" s="48"/>
      <c r="Q96" s="48"/>
      <c r="R96" s="48"/>
      <c r="S96" s="48"/>
      <c r="T96" s="48"/>
      <c r="U96" s="48">
        <v>3.6</v>
      </c>
      <c r="V96" s="48"/>
      <c r="W96" s="48"/>
      <c r="X96" s="48"/>
      <c r="Y96" s="48">
        <v>1.8</v>
      </c>
      <c r="Z96" s="48"/>
      <c r="AA96" s="48"/>
      <c r="AB96" s="48"/>
      <c r="AC96" s="48"/>
      <c r="AD96" s="48"/>
      <c r="AE96" s="48"/>
      <c r="AF96" s="48"/>
      <c r="AG96" s="139">
        <v>0.3</v>
      </c>
    </row>
    <row r="97" spans="1:33" s="47" customFormat="1" ht="10.5" customHeight="1" x14ac:dyDescent="0.25">
      <c r="A97" s="48">
        <v>279</v>
      </c>
      <c r="B97" s="48" t="s">
        <v>111</v>
      </c>
      <c r="C97" s="117">
        <v>60</v>
      </c>
      <c r="D97" s="46"/>
      <c r="E97" s="46"/>
      <c r="F97" s="46"/>
      <c r="G97" s="46"/>
      <c r="H97" s="46">
        <v>66</v>
      </c>
      <c r="I97" s="48"/>
      <c r="J97" s="46"/>
      <c r="K97" s="46"/>
      <c r="L97" s="140">
        <v>7.6</v>
      </c>
      <c r="M97" s="46"/>
      <c r="N97" s="46"/>
      <c r="O97" s="46"/>
      <c r="P97" s="46"/>
      <c r="Q97" s="46"/>
      <c r="R97" s="46"/>
      <c r="S97" s="46"/>
      <c r="T97" s="46"/>
      <c r="U97" s="46">
        <v>3.7</v>
      </c>
      <c r="V97" s="46"/>
      <c r="W97" s="48"/>
      <c r="X97" s="71">
        <v>0.8</v>
      </c>
      <c r="Y97" s="46"/>
      <c r="Z97" s="46"/>
      <c r="AA97" s="46"/>
      <c r="AB97" s="46"/>
      <c r="AC97" s="46"/>
      <c r="AD97" s="46"/>
      <c r="AE97" s="46"/>
      <c r="AF97" s="46"/>
      <c r="AG97" s="46">
        <v>0.66</v>
      </c>
    </row>
    <row r="98" spans="1:33" s="47" customFormat="1" ht="10.5" customHeight="1" x14ac:dyDescent="0.25">
      <c r="A98" s="46" t="s">
        <v>115</v>
      </c>
      <c r="B98" s="46" t="s">
        <v>209</v>
      </c>
      <c r="C98" s="71">
        <v>100</v>
      </c>
      <c r="D98" s="46"/>
      <c r="E98" s="46"/>
      <c r="F98" s="71">
        <v>9</v>
      </c>
      <c r="G98" s="46"/>
      <c r="H98" s="46"/>
      <c r="I98" s="48"/>
      <c r="J98" s="46"/>
      <c r="K98" s="46"/>
      <c r="L98" s="46"/>
      <c r="M98" s="46">
        <f>20*1.2</f>
        <v>24</v>
      </c>
      <c r="N98" s="46">
        <v>87.5</v>
      </c>
      <c r="O98" s="46"/>
      <c r="P98" s="46"/>
      <c r="Q98" s="46"/>
      <c r="R98" s="46"/>
      <c r="S98" s="46"/>
      <c r="T98" s="46"/>
      <c r="U98" s="46"/>
      <c r="V98" s="46"/>
      <c r="W98" s="117">
        <v>0.9</v>
      </c>
      <c r="X98" s="46">
        <v>4.9000000000000004</v>
      </c>
      <c r="Y98" s="46"/>
      <c r="Z98" s="46"/>
      <c r="AA98" s="46"/>
      <c r="AB98" s="46"/>
      <c r="AC98" s="46"/>
      <c r="AD98" s="46"/>
      <c r="AE98" s="46"/>
      <c r="AF98" s="46"/>
      <c r="AG98" s="46">
        <v>1.02</v>
      </c>
    </row>
    <row r="99" spans="1:33" s="47" customFormat="1" ht="10.5" customHeight="1" x14ac:dyDescent="0.25">
      <c r="A99" s="48">
        <v>372</v>
      </c>
      <c r="B99" s="48" t="s">
        <v>146</v>
      </c>
      <c r="C99" s="48">
        <v>150</v>
      </c>
      <c r="D99" s="46"/>
      <c r="E99" s="46"/>
      <c r="F99" s="46"/>
      <c r="G99" s="46"/>
      <c r="H99" s="46"/>
      <c r="I99" s="48"/>
      <c r="J99" s="46"/>
      <c r="K99" s="46"/>
      <c r="L99" s="46"/>
      <c r="M99" s="46"/>
      <c r="N99" s="46"/>
      <c r="O99" s="46">
        <f>36*150/180</f>
        <v>30</v>
      </c>
      <c r="P99" s="46"/>
      <c r="Q99" s="46"/>
      <c r="R99" s="46"/>
      <c r="S99" s="46"/>
      <c r="T99" s="46"/>
      <c r="U99" s="46"/>
      <c r="V99" s="46"/>
      <c r="W99" s="48"/>
      <c r="X99" s="46"/>
      <c r="Y99" s="46"/>
      <c r="Z99" s="46"/>
      <c r="AA99" s="46"/>
      <c r="AB99" s="46"/>
      <c r="AC99" s="46"/>
      <c r="AD99" s="46">
        <v>7</v>
      </c>
      <c r="AE99" s="46"/>
      <c r="AF99" s="46"/>
      <c r="AG99" s="46"/>
    </row>
    <row r="100" spans="1:33" s="47" customFormat="1" ht="10.5" customHeight="1" x14ac:dyDescent="0.25">
      <c r="A100" s="48"/>
      <c r="B100" s="48" t="s">
        <v>33</v>
      </c>
      <c r="C100" s="48">
        <v>40</v>
      </c>
      <c r="D100" s="46"/>
      <c r="E100" s="46"/>
      <c r="F100" s="46"/>
      <c r="G100" s="46"/>
      <c r="H100" s="46"/>
      <c r="I100" s="48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>
        <v>40</v>
      </c>
      <c r="U100" s="46"/>
      <c r="V100" s="46"/>
      <c r="W100" s="48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</row>
    <row r="101" spans="1:33" s="47" customFormat="1" ht="10.5" customHeight="1" x14ac:dyDescent="0.25">
      <c r="A101" s="46"/>
      <c r="B101" s="46"/>
      <c r="C101" s="59">
        <f>SUM(C96:C100)</f>
        <v>530</v>
      </c>
      <c r="D101" s="46"/>
      <c r="E101" s="46"/>
      <c r="F101" s="46"/>
      <c r="G101" s="46"/>
      <c r="H101" s="46"/>
      <c r="I101" s="48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8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</row>
    <row r="102" spans="1:33" s="105" customFormat="1" ht="10.5" customHeight="1" x14ac:dyDescent="0.25">
      <c r="A102" s="6">
        <v>41</v>
      </c>
      <c r="B102" s="6" t="s">
        <v>137</v>
      </c>
      <c r="C102" s="6">
        <v>40</v>
      </c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>
        <f>53*0.4</f>
        <v>21.200000000000003</v>
      </c>
      <c r="O102" s="6">
        <f>43*0.4</f>
        <v>17.2</v>
      </c>
      <c r="P102" s="6"/>
      <c r="Q102" s="6"/>
      <c r="R102" s="6"/>
      <c r="S102" s="6"/>
      <c r="T102" s="6"/>
      <c r="U102" s="6"/>
      <c r="V102" s="6"/>
      <c r="W102" s="6"/>
      <c r="X102" s="6"/>
      <c r="Y102" s="6">
        <v>2</v>
      </c>
      <c r="Z102" s="6"/>
      <c r="AA102" s="6"/>
      <c r="AB102" s="6"/>
      <c r="AC102" s="6"/>
      <c r="AD102" s="6">
        <v>1</v>
      </c>
      <c r="AE102" s="6"/>
      <c r="AF102" s="6"/>
      <c r="AG102" s="6"/>
    </row>
    <row r="103" spans="1:33" s="105" customFormat="1" ht="11.25" customHeight="1" x14ac:dyDescent="0.25">
      <c r="A103" s="6">
        <v>159</v>
      </c>
      <c r="B103" s="6" t="s">
        <v>130</v>
      </c>
      <c r="C103" s="6">
        <v>160</v>
      </c>
      <c r="D103" s="6">
        <f>20*160/150</f>
        <v>21.333333333333332</v>
      </c>
      <c r="E103" s="6">
        <f>33*160/150</f>
        <v>35.200000000000003</v>
      </c>
      <c r="F103" s="6"/>
      <c r="G103" s="6"/>
      <c r="H103" s="6"/>
      <c r="I103" s="6"/>
      <c r="J103" s="6"/>
      <c r="K103" s="6"/>
      <c r="L103" s="6">
        <f>15*160/150</f>
        <v>16</v>
      </c>
      <c r="M103" s="6"/>
      <c r="N103" s="6">
        <f>93*160/150</f>
        <v>99.2</v>
      </c>
      <c r="O103" s="6"/>
      <c r="P103" s="6"/>
      <c r="Q103" s="6"/>
      <c r="R103" s="6"/>
      <c r="S103" s="6"/>
      <c r="T103" s="6"/>
      <c r="U103" s="6">
        <f>6*160/150</f>
        <v>6.4</v>
      </c>
      <c r="V103" s="6"/>
      <c r="W103" s="6"/>
      <c r="X103" s="6">
        <f>4*160/150</f>
        <v>4.2666666666666666</v>
      </c>
      <c r="Y103" s="6"/>
      <c r="Z103" s="6"/>
      <c r="AA103" s="6"/>
      <c r="AB103" s="6"/>
      <c r="AC103" s="6"/>
      <c r="AD103" s="6">
        <v>5</v>
      </c>
      <c r="AE103" s="6"/>
      <c r="AF103" s="6"/>
      <c r="AG103" s="6">
        <v>0.44</v>
      </c>
    </row>
    <row r="104" spans="1:33" s="58" customFormat="1" ht="13.5" customHeight="1" x14ac:dyDescent="0.25">
      <c r="A104" s="48">
        <v>362</v>
      </c>
      <c r="B104" s="48" t="s">
        <v>158</v>
      </c>
      <c r="C104" s="48">
        <v>15</v>
      </c>
      <c r="D104" s="48"/>
      <c r="E104" s="48"/>
      <c r="F104" s="48"/>
      <c r="G104" s="48"/>
      <c r="H104" s="48"/>
      <c r="I104" s="48"/>
      <c r="J104" s="48"/>
      <c r="K104" s="48"/>
      <c r="L104" s="48"/>
      <c r="M104" s="48"/>
      <c r="N104" s="48"/>
      <c r="O104" s="48">
        <v>3.84</v>
      </c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>
        <v>1.87</v>
      </c>
      <c r="AE104" s="48"/>
      <c r="AF104" s="48"/>
      <c r="AG104" s="48"/>
    </row>
    <row r="105" spans="1:33" s="105" customFormat="1" ht="10.5" customHeight="1" x14ac:dyDescent="0.25">
      <c r="A105" s="6"/>
      <c r="B105" s="6" t="s">
        <v>165</v>
      </c>
      <c r="C105" s="6">
        <v>180</v>
      </c>
      <c r="D105" s="6">
        <v>180</v>
      </c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</row>
    <row r="106" spans="1:33" s="47" customFormat="1" ht="10.5" customHeight="1" x14ac:dyDescent="0.25">
      <c r="A106" s="48">
        <v>494</v>
      </c>
      <c r="B106" s="48" t="s">
        <v>180</v>
      </c>
      <c r="C106" s="48">
        <v>35</v>
      </c>
      <c r="D106" s="46"/>
      <c r="E106" s="46"/>
      <c r="F106" s="46"/>
      <c r="G106" s="46"/>
      <c r="H106" s="46"/>
      <c r="I106" s="48"/>
      <c r="J106" s="46"/>
      <c r="K106" s="46"/>
      <c r="L106" s="46">
        <v>0.7</v>
      </c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8">
        <v>17.91</v>
      </c>
      <c r="X106" s="46"/>
      <c r="Y106" s="46">
        <v>0.55000000000000004</v>
      </c>
      <c r="Z106" s="46">
        <v>12</v>
      </c>
      <c r="AA106" s="46"/>
      <c r="AB106" s="46"/>
      <c r="AC106" s="46"/>
      <c r="AD106" s="46">
        <v>1.22</v>
      </c>
      <c r="AE106" s="46">
        <v>0.51</v>
      </c>
      <c r="AF106" s="46"/>
      <c r="AG106" s="46">
        <v>0.27</v>
      </c>
    </row>
    <row r="107" spans="1:33" ht="10.5" customHeight="1" x14ac:dyDescent="0.25">
      <c r="A107" s="6"/>
      <c r="B107" s="6" t="s">
        <v>33</v>
      </c>
      <c r="C107" s="6">
        <v>20</v>
      </c>
      <c r="T107" s="5">
        <v>20</v>
      </c>
      <c r="W107" s="6"/>
    </row>
    <row r="108" spans="1:33" s="47" customFormat="1" ht="10.5" customHeight="1" x14ac:dyDescent="0.25">
      <c r="A108" s="46"/>
      <c r="B108" s="46"/>
      <c r="C108" s="59"/>
      <c r="D108" s="46"/>
      <c r="E108" s="46"/>
      <c r="F108" s="46"/>
      <c r="G108" s="46"/>
      <c r="H108" s="46"/>
      <c r="I108" s="48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8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</row>
    <row r="109" spans="1:33" ht="10.5" customHeight="1" x14ac:dyDescent="0.25">
      <c r="A109" s="6"/>
      <c r="B109" s="6"/>
      <c r="C109" s="44">
        <f>SUM(C102:C107)</f>
        <v>450</v>
      </c>
    </row>
    <row r="110" spans="1:33" s="13" customFormat="1" ht="10.5" customHeight="1" x14ac:dyDescent="0.25">
      <c r="A110" s="12"/>
      <c r="B110" s="16" t="s">
        <v>79</v>
      </c>
      <c r="C110" s="12"/>
      <c r="D110" s="8">
        <f t="shared" ref="D110:AG110" si="3">SUM(D87:D108)</f>
        <v>433.33333333333337</v>
      </c>
      <c r="E110" s="8">
        <f t="shared" si="3"/>
        <v>35.200000000000003</v>
      </c>
      <c r="F110" s="8">
        <f t="shared" si="3"/>
        <v>9</v>
      </c>
      <c r="G110" s="8">
        <f t="shared" si="3"/>
        <v>10</v>
      </c>
      <c r="H110" s="8">
        <f t="shared" si="3"/>
        <v>66</v>
      </c>
      <c r="I110" s="12">
        <f t="shared" si="3"/>
        <v>0</v>
      </c>
      <c r="J110" s="8">
        <f t="shared" si="3"/>
        <v>0</v>
      </c>
      <c r="K110" s="8">
        <f t="shared" si="3"/>
        <v>0</v>
      </c>
      <c r="L110" s="8">
        <f t="shared" si="3"/>
        <v>24.3</v>
      </c>
      <c r="M110" s="8">
        <f t="shared" si="3"/>
        <v>78</v>
      </c>
      <c r="N110" s="8">
        <f t="shared" si="3"/>
        <v>222.3</v>
      </c>
      <c r="O110" s="8">
        <f t="shared" si="3"/>
        <v>146.04</v>
      </c>
      <c r="P110" s="8">
        <f t="shared" si="3"/>
        <v>0</v>
      </c>
      <c r="Q110" s="8">
        <f t="shared" si="3"/>
        <v>0</v>
      </c>
      <c r="R110" s="8">
        <f t="shared" si="3"/>
        <v>0</v>
      </c>
      <c r="S110" s="8">
        <f t="shared" si="3"/>
        <v>40</v>
      </c>
      <c r="T110" s="8">
        <f t="shared" si="3"/>
        <v>60</v>
      </c>
      <c r="U110" s="8">
        <f t="shared" si="3"/>
        <v>24.5</v>
      </c>
      <c r="V110" s="8">
        <f t="shared" si="3"/>
        <v>0</v>
      </c>
      <c r="W110" s="12">
        <f t="shared" si="3"/>
        <v>18.809999999999999</v>
      </c>
      <c r="X110" s="8">
        <f t="shared" si="3"/>
        <v>11.966666666666667</v>
      </c>
      <c r="Y110" s="8">
        <f t="shared" si="3"/>
        <v>4.3499999999999996</v>
      </c>
      <c r="Z110" s="8">
        <f t="shared" si="3"/>
        <v>12</v>
      </c>
      <c r="AA110" s="8">
        <f t="shared" si="3"/>
        <v>0.75</v>
      </c>
      <c r="AB110" s="8">
        <f t="shared" si="3"/>
        <v>0</v>
      </c>
      <c r="AC110" s="8">
        <f t="shared" si="3"/>
        <v>0</v>
      </c>
      <c r="AD110" s="8">
        <f t="shared" si="3"/>
        <v>26.09</v>
      </c>
      <c r="AE110" s="8">
        <f t="shared" si="3"/>
        <v>0.51</v>
      </c>
      <c r="AF110" s="8">
        <f t="shared" si="3"/>
        <v>0</v>
      </c>
      <c r="AG110" s="8">
        <f t="shared" si="3"/>
        <v>2.84</v>
      </c>
    </row>
    <row r="112" spans="1:33" s="27" customFormat="1" ht="10.5" customHeight="1" x14ac:dyDescent="0.3">
      <c r="A112" s="177" t="s">
        <v>76</v>
      </c>
      <c r="B112" s="178"/>
      <c r="C112" s="26"/>
      <c r="D112" s="26"/>
      <c r="E112" s="26"/>
      <c r="F112" s="26"/>
      <c r="G112" s="26"/>
      <c r="H112" s="26"/>
      <c r="I112" s="10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10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</row>
    <row r="113" spans="1:33" s="47" customFormat="1" ht="9.75" customHeight="1" x14ac:dyDescent="0.25">
      <c r="A113" s="48"/>
      <c r="B113" s="48"/>
      <c r="C113" s="48"/>
      <c r="D113" s="46"/>
      <c r="E113" s="46"/>
      <c r="F113" s="46"/>
      <c r="G113" s="46"/>
      <c r="H113" s="46"/>
      <c r="I113" s="48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8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</row>
    <row r="114" spans="1:33" s="105" customFormat="1" ht="10.5" customHeight="1" x14ac:dyDescent="0.25">
      <c r="A114" s="6">
        <v>94</v>
      </c>
      <c r="B114" s="6" t="s">
        <v>133</v>
      </c>
      <c r="C114" s="6">
        <v>150</v>
      </c>
      <c r="D114" s="6">
        <v>105</v>
      </c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>
        <v>12</v>
      </c>
      <c r="V114" s="6"/>
      <c r="W114" s="6"/>
      <c r="X114" s="48">
        <v>3</v>
      </c>
      <c r="Y114" s="6"/>
      <c r="Z114" s="6"/>
      <c r="AA114" s="6"/>
      <c r="AB114" s="6"/>
      <c r="AC114" s="6"/>
      <c r="AD114" s="6">
        <v>6</v>
      </c>
      <c r="AE114" s="6"/>
      <c r="AF114" s="6"/>
      <c r="AG114" s="6">
        <v>0.25</v>
      </c>
    </row>
    <row r="115" spans="1:33" s="58" customFormat="1" ht="10.5" customHeight="1" x14ac:dyDescent="0.25">
      <c r="A115" s="48">
        <v>392</v>
      </c>
      <c r="B115" s="48" t="s">
        <v>210</v>
      </c>
      <c r="C115" s="48">
        <v>160</v>
      </c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>
        <v>10</v>
      </c>
      <c r="AA115" s="139">
        <v>0.75</v>
      </c>
      <c r="AB115" s="48"/>
      <c r="AC115" s="48"/>
      <c r="AD115" s="48"/>
      <c r="AE115" s="48"/>
      <c r="AF115" s="48"/>
      <c r="AG115" s="48"/>
    </row>
    <row r="116" spans="1:33" s="58" customFormat="1" ht="10.5" customHeight="1" x14ac:dyDescent="0.25">
      <c r="A116" s="48">
        <v>231</v>
      </c>
      <c r="B116" s="48" t="s">
        <v>143</v>
      </c>
      <c r="C116" s="48">
        <v>50</v>
      </c>
      <c r="D116" s="48"/>
      <c r="E116" s="48">
        <v>50</v>
      </c>
      <c r="F116" s="48"/>
      <c r="G116" s="48"/>
      <c r="H116" s="48"/>
      <c r="I116" s="48"/>
      <c r="J116" s="48"/>
      <c r="K116" s="48"/>
      <c r="L116" s="48">
        <v>2</v>
      </c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>
        <v>6</v>
      </c>
      <c r="X116" s="48"/>
      <c r="Y116" s="48">
        <v>2</v>
      </c>
      <c r="Z116" s="48"/>
      <c r="AA116" s="48"/>
      <c r="AB116" s="48"/>
      <c r="AC116" s="48"/>
      <c r="AD116" s="48"/>
      <c r="AE116" s="48"/>
      <c r="AF116" s="48"/>
      <c r="AG116" s="48"/>
    </row>
    <row r="117" spans="1:33" s="58" customFormat="1" ht="10.5" customHeight="1" x14ac:dyDescent="0.25">
      <c r="A117" s="48"/>
      <c r="B117" s="48" t="s">
        <v>211</v>
      </c>
      <c r="C117" s="48">
        <v>40</v>
      </c>
      <c r="D117" s="48"/>
      <c r="E117" s="48"/>
      <c r="F117" s="48"/>
      <c r="G117" s="48"/>
      <c r="H117" s="48"/>
      <c r="I117" s="48"/>
      <c r="J117" s="48"/>
      <c r="K117" s="48"/>
      <c r="L117" s="48"/>
      <c r="M117" s="48"/>
      <c r="N117" s="48">
        <v>38.4</v>
      </c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>
        <v>1.5</v>
      </c>
      <c r="AE117" s="48"/>
      <c r="AF117" s="48"/>
      <c r="AG117" s="48"/>
    </row>
    <row r="118" spans="1:33" s="47" customFormat="1" ht="10.5" customHeight="1" x14ac:dyDescent="0.25">
      <c r="A118" s="48"/>
      <c r="B118" s="48" t="s">
        <v>33</v>
      </c>
      <c r="C118" s="48">
        <v>20</v>
      </c>
      <c r="D118" s="46"/>
      <c r="E118" s="46"/>
      <c r="F118" s="46"/>
      <c r="G118" s="46"/>
      <c r="H118" s="46"/>
      <c r="I118" s="48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>
        <v>20</v>
      </c>
      <c r="U118" s="46"/>
      <c r="V118" s="46"/>
      <c r="W118" s="48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</row>
    <row r="119" spans="1:33" s="47" customFormat="1" ht="10.5" customHeight="1" x14ac:dyDescent="0.25">
      <c r="A119" s="46"/>
      <c r="B119" s="46"/>
      <c r="C119" s="59">
        <f>SUM(C113:C118)</f>
        <v>420</v>
      </c>
      <c r="D119" s="46"/>
      <c r="E119" s="46"/>
      <c r="F119" s="46"/>
      <c r="G119" s="46"/>
      <c r="H119" s="46"/>
      <c r="I119" s="48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8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</row>
    <row r="120" spans="1:33" s="47" customFormat="1" ht="10.5" customHeight="1" x14ac:dyDescent="0.25">
      <c r="A120" s="46"/>
      <c r="B120" s="46"/>
      <c r="C120" s="59"/>
      <c r="D120" s="46"/>
      <c r="E120" s="46"/>
      <c r="F120" s="46"/>
      <c r="G120" s="46"/>
      <c r="H120" s="46"/>
      <c r="I120" s="48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8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</row>
    <row r="121" spans="1:33" s="47" customFormat="1" ht="10.5" customHeight="1" x14ac:dyDescent="0.25">
      <c r="A121" s="51">
        <v>368</v>
      </c>
      <c r="B121" s="51" t="s">
        <v>37</v>
      </c>
      <c r="C121" s="128">
        <v>95</v>
      </c>
      <c r="D121" s="46"/>
      <c r="E121" s="46"/>
      <c r="F121" s="46"/>
      <c r="G121" s="46"/>
      <c r="H121" s="46"/>
      <c r="I121" s="48"/>
      <c r="J121" s="46"/>
      <c r="K121" s="46"/>
      <c r="L121" s="46"/>
      <c r="M121" s="46"/>
      <c r="N121" s="46"/>
      <c r="O121" s="46">
        <v>95</v>
      </c>
      <c r="P121" s="52"/>
      <c r="Q121" s="52"/>
      <c r="R121" s="52"/>
      <c r="S121" s="52"/>
      <c r="T121" s="52"/>
      <c r="U121" s="52"/>
      <c r="V121" s="52"/>
      <c r="W121" s="65"/>
      <c r="X121" s="52"/>
      <c r="Y121" s="52"/>
      <c r="Z121" s="52"/>
      <c r="AA121" s="52"/>
      <c r="AB121" s="52"/>
      <c r="AC121" s="52"/>
      <c r="AD121" s="52"/>
      <c r="AE121" s="52"/>
      <c r="AF121" s="52"/>
      <c r="AG121" s="52"/>
    </row>
    <row r="122" spans="1:33" s="47" customFormat="1" ht="10.5" customHeight="1" x14ac:dyDescent="0.25">
      <c r="A122" s="46"/>
      <c r="B122" s="48"/>
      <c r="C122" s="48"/>
      <c r="D122" s="46"/>
      <c r="E122" s="46"/>
      <c r="F122" s="46"/>
      <c r="G122" s="46"/>
      <c r="H122" s="46"/>
      <c r="I122" s="48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8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</row>
    <row r="123" spans="1:33" s="47" customFormat="1" ht="10.5" customHeight="1" x14ac:dyDescent="0.25">
      <c r="A123" s="46"/>
      <c r="B123" s="46"/>
      <c r="C123" s="46"/>
      <c r="D123" s="46"/>
      <c r="E123" s="46"/>
      <c r="F123" s="46"/>
      <c r="G123" s="46"/>
      <c r="H123" s="46"/>
      <c r="I123" s="48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8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</row>
    <row r="124" spans="1:33" s="47" customFormat="1" ht="10.5" customHeight="1" x14ac:dyDescent="0.25">
      <c r="A124" s="48"/>
      <c r="B124" s="48"/>
      <c r="C124" s="48"/>
      <c r="D124" s="46"/>
      <c r="E124" s="46"/>
      <c r="F124" s="46"/>
      <c r="G124" s="46"/>
      <c r="H124" s="46"/>
      <c r="I124" s="48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8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</row>
    <row r="125" spans="1:33" s="105" customFormat="1" ht="10.5" customHeight="1" x14ac:dyDescent="0.25">
      <c r="A125" s="6">
        <v>57</v>
      </c>
      <c r="B125" s="6" t="s">
        <v>167</v>
      </c>
      <c r="C125" s="109">
        <v>180</v>
      </c>
      <c r="D125" s="6"/>
      <c r="E125" s="6"/>
      <c r="F125" s="6"/>
      <c r="G125" s="6"/>
      <c r="H125" s="6"/>
      <c r="I125" s="6"/>
      <c r="J125" s="6"/>
      <c r="K125" s="6"/>
      <c r="L125" s="6"/>
      <c r="M125" s="6">
        <v>14</v>
      </c>
      <c r="N125" s="6">
        <v>57.8</v>
      </c>
      <c r="O125" s="6"/>
      <c r="P125" s="6"/>
      <c r="Q125" s="6"/>
      <c r="R125" s="6"/>
      <c r="S125" s="6"/>
      <c r="T125" s="6"/>
      <c r="U125" s="6"/>
      <c r="V125" s="6"/>
      <c r="W125" s="141">
        <v>3.6</v>
      </c>
      <c r="X125" s="6"/>
      <c r="Y125" s="6">
        <v>3.6</v>
      </c>
      <c r="Z125" s="6"/>
      <c r="AA125" s="6"/>
      <c r="AB125" s="6"/>
      <c r="AC125" s="6"/>
      <c r="AD125" s="6">
        <v>1.8</v>
      </c>
      <c r="AE125" s="6"/>
      <c r="AF125" s="6"/>
      <c r="AG125" s="141">
        <v>0.3</v>
      </c>
    </row>
    <row r="126" spans="1:33" s="58" customFormat="1" ht="10.5" customHeight="1" x14ac:dyDescent="0.25">
      <c r="A126" s="48">
        <v>282</v>
      </c>
      <c r="B126" s="48" t="s">
        <v>101</v>
      </c>
      <c r="C126" s="60">
        <v>60</v>
      </c>
      <c r="D126" s="48">
        <v>14</v>
      </c>
      <c r="E126" s="48"/>
      <c r="F126" s="48"/>
      <c r="G126" s="48"/>
      <c r="H126" s="48">
        <v>44</v>
      </c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139">
        <v>11</v>
      </c>
      <c r="U126" s="48"/>
      <c r="V126" s="48"/>
      <c r="W126" s="48"/>
      <c r="X126" s="48">
        <v>4</v>
      </c>
      <c r="Y126" s="48"/>
      <c r="Z126" s="48"/>
      <c r="AA126" s="48"/>
      <c r="AB126" s="48"/>
      <c r="AC126" s="48"/>
      <c r="AD126" s="48"/>
      <c r="AE126" s="48"/>
      <c r="AF126" s="48"/>
      <c r="AG126" s="48">
        <v>0.4</v>
      </c>
    </row>
    <row r="127" spans="1:33" s="58" customFormat="1" ht="10.5" customHeight="1" x14ac:dyDescent="0.25">
      <c r="A127" s="48">
        <v>205</v>
      </c>
      <c r="B127" s="48" t="s">
        <v>84</v>
      </c>
      <c r="C127" s="48">
        <v>110</v>
      </c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>
        <v>38.5</v>
      </c>
      <c r="W127" s="48"/>
      <c r="X127" s="48">
        <v>5</v>
      </c>
      <c r="Y127" s="48"/>
      <c r="Z127" s="48"/>
      <c r="AA127" s="48"/>
      <c r="AB127" s="48"/>
      <c r="AC127" s="48"/>
      <c r="AD127" s="48"/>
      <c r="AE127" s="48"/>
      <c r="AF127" s="48"/>
      <c r="AG127" s="48">
        <v>1.25</v>
      </c>
    </row>
    <row r="128" spans="1:33" s="58" customFormat="1" ht="10.5" customHeight="1" x14ac:dyDescent="0.25">
      <c r="A128" s="48">
        <v>372</v>
      </c>
      <c r="B128" s="48" t="s">
        <v>146</v>
      </c>
      <c r="C128" s="60">
        <v>150</v>
      </c>
      <c r="D128" s="48"/>
      <c r="E128" s="48"/>
      <c r="F128" s="48"/>
      <c r="G128" s="48"/>
      <c r="H128" s="48"/>
      <c r="I128" s="48"/>
      <c r="J128" s="48"/>
      <c r="K128" s="48"/>
      <c r="L128" s="48"/>
      <c r="M128" s="48"/>
      <c r="N128" s="48"/>
      <c r="O128" s="48">
        <v>30</v>
      </c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>
        <v>10</v>
      </c>
      <c r="AE128" s="48"/>
      <c r="AF128" s="48"/>
      <c r="AG128" s="48"/>
    </row>
    <row r="129" spans="1:33" s="58" customFormat="1" ht="10.5" customHeight="1" x14ac:dyDescent="0.25">
      <c r="A129" s="48"/>
      <c r="B129" s="48" t="s">
        <v>151</v>
      </c>
      <c r="C129" s="60">
        <v>40</v>
      </c>
      <c r="D129" s="48"/>
      <c r="E129" s="48"/>
      <c r="F129" s="48"/>
      <c r="G129" s="48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>
        <v>40</v>
      </c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</row>
    <row r="130" spans="1:33" s="47" customFormat="1" ht="10.5" customHeight="1" x14ac:dyDescent="0.25">
      <c r="A130" s="46"/>
      <c r="B130" s="46"/>
      <c r="C130" s="59">
        <f>SUM(C124:C129)</f>
        <v>540</v>
      </c>
      <c r="D130" s="46"/>
      <c r="E130" s="46"/>
      <c r="F130" s="46"/>
      <c r="G130" s="46"/>
      <c r="H130" s="46"/>
      <c r="I130" s="48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8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</row>
    <row r="131" spans="1:33" s="105" customFormat="1" ht="10.5" customHeight="1" x14ac:dyDescent="0.25">
      <c r="A131" s="6">
        <v>54</v>
      </c>
      <c r="B131" s="6" t="s">
        <v>139</v>
      </c>
      <c r="C131" s="6">
        <v>40</v>
      </c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>
        <v>43</v>
      </c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>
        <v>2</v>
      </c>
      <c r="Z131" s="6"/>
      <c r="AA131" s="6"/>
      <c r="AB131" s="6"/>
      <c r="AC131" s="6"/>
      <c r="AD131" s="6">
        <v>0.48</v>
      </c>
      <c r="AE131" s="6"/>
      <c r="AF131" s="6"/>
      <c r="AG131" s="6">
        <v>0.15</v>
      </c>
    </row>
    <row r="132" spans="1:33" s="58" customFormat="1" ht="10.5" customHeight="1" x14ac:dyDescent="0.25">
      <c r="A132" s="48">
        <v>291</v>
      </c>
      <c r="B132" s="48" t="s">
        <v>226</v>
      </c>
      <c r="C132" s="48">
        <v>120</v>
      </c>
      <c r="D132" s="48"/>
      <c r="E132" s="48"/>
      <c r="F132" s="48"/>
      <c r="G132" s="48"/>
      <c r="H132" s="48"/>
      <c r="I132" s="48"/>
      <c r="J132" s="48"/>
      <c r="K132" s="139">
        <v>30.7</v>
      </c>
      <c r="L132" s="48"/>
      <c r="M132" s="139">
        <v>114.8</v>
      </c>
      <c r="N132" s="48">
        <v>8.1999999999999993</v>
      </c>
      <c r="O132" s="48"/>
      <c r="P132" s="48"/>
      <c r="Q132" s="48"/>
      <c r="R132" s="48"/>
      <c r="S132" s="48"/>
      <c r="T132" s="48">
        <v>2.2000000000000002</v>
      </c>
      <c r="U132" s="48"/>
      <c r="V132" s="48"/>
      <c r="W132" s="48"/>
      <c r="X132" s="139">
        <v>1.5</v>
      </c>
      <c r="Y132" s="48"/>
      <c r="Z132" s="48"/>
      <c r="AA132" s="48"/>
      <c r="AB132" s="48"/>
      <c r="AC132" s="48"/>
      <c r="AD132" s="48"/>
      <c r="AE132" s="48"/>
      <c r="AF132" s="48"/>
      <c r="AG132" s="139">
        <v>0.8</v>
      </c>
    </row>
    <row r="133" spans="1:33" s="58" customFormat="1" ht="10.5" customHeight="1" x14ac:dyDescent="0.25">
      <c r="A133" s="48" t="s">
        <v>44</v>
      </c>
      <c r="B133" s="48" t="s">
        <v>87</v>
      </c>
      <c r="C133" s="48">
        <v>5</v>
      </c>
      <c r="D133" s="48"/>
      <c r="E133" s="48"/>
      <c r="F133" s="48">
        <v>5</v>
      </c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</row>
    <row r="134" spans="1:33" s="105" customFormat="1" ht="10.5" customHeight="1" x14ac:dyDescent="0.25">
      <c r="A134" s="6">
        <v>454</v>
      </c>
      <c r="B134" s="6" t="s">
        <v>77</v>
      </c>
      <c r="C134" s="6">
        <v>40</v>
      </c>
      <c r="D134" s="6"/>
      <c r="E134" s="6"/>
      <c r="F134" s="6"/>
      <c r="G134" s="6"/>
      <c r="H134" s="6"/>
      <c r="I134" s="6"/>
      <c r="J134" s="6"/>
      <c r="K134" s="6"/>
      <c r="L134" s="6">
        <v>2.8</v>
      </c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>
        <v>22.4</v>
      </c>
      <c r="X134" s="6"/>
      <c r="Y134" s="141">
        <v>4.7</v>
      </c>
      <c r="Z134" s="6"/>
      <c r="AA134" s="6"/>
      <c r="AB134" s="6"/>
      <c r="AC134" s="6"/>
      <c r="AD134" s="141">
        <v>6.4</v>
      </c>
      <c r="AE134" s="6">
        <v>0.5</v>
      </c>
      <c r="AF134" s="6"/>
      <c r="AG134" s="141">
        <v>0.12</v>
      </c>
    </row>
    <row r="135" spans="1:33" s="58" customFormat="1" ht="10.5" customHeight="1" x14ac:dyDescent="0.25">
      <c r="A135" s="48">
        <v>400</v>
      </c>
      <c r="B135" s="48" t="s">
        <v>168</v>
      </c>
      <c r="C135" s="48">
        <v>180</v>
      </c>
      <c r="D135" s="48">
        <v>180</v>
      </c>
      <c r="E135" s="48"/>
      <c r="F135" s="48"/>
      <c r="G135" s="48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</row>
    <row r="136" spans="1:33" s="58" customFormat="1" ht="10.5" customHeight="1" x14ac:dyDescent="0.25">
      <c r="A136" s="48"/>
      <c r="B136" s="48" t="s">
        <v>33</v>
      </c>
      <c r="C136" s="48">
        <v>20</v>
      </c>
      <c r="D136" s="48"/>
      <c r="E136" s="48"/>
      <c r="F136" s="48"/>
      <c r="G136" s="48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>
        <v>20</v>
      </c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</row>
    <row r="137" spans="1:33" ht="15" customHeight="1" x14ac:dyDescent="0.25">
      <c r="A137" s="6"/>
      <c r="B137" s="6"/>
      <c r="C137" s="42">
        <f>SUM(C131:C136)</f>
        <v>405</v>
      </c>
    </row>
    <row r="138" spans="1:33" s="11" customFormat="1" ht="10.5" customHeight="1" x14ac:dyDescent="0.25">
      <c r="A138" s="14"/>
      <c r="B138" s="15" t="s">
        <v>79</v>
      </c>
      <c r="C138" s="14"/>
      <c r="D138" s="9">
        <f t="shared" ref="D138:AG138" si="4">SUM(D113:D136)</f>
        <v>299</v>
      </c>
      <c r="E138" s="9">
        <f t="shared" si="4"/>
        <v>50</v>
      </c>
      <c r="F138" s="9">
        <f t="shared" si="4"/>
        <v>5</v>
      </c>
      <c r="G138" s="9">
        <f t="shared" si="4"/>
        <v>0</v>
      </c>
      <c r="H138" s="9">
        <f t="shared" si="4"/>
        <v>44</v>
      </c>
      <c r="I138" s="14">
        <f t="shared" si="4"/>
        <v>0</v>
      </c>
      <c r="J138" s="9">
        <f t="shared" si="4"/>
        <v>0</v>
      </c>
      <c r="K138" s="9">
        <f t="shared" si="4"/>
        <v>30.7</v>
      </c>
      <c r="L138" s="9">
        <f t="shared" si="4"/>
        <v>4.8</v>
      </c>
      <c r="M138" s="9">
        <f t="shared" si="4"/>
        <v>128.80000000000001</v>
      </c>
      <c r="N138" s="9">
        <f t="shared" si="4"/>
        <v>147.39999999999998</v>
      </c>
      <c r="O138" s="9">
        <f t="shared" si="4"/>
        <v>125</v>
      </c>
      <c r="P138" s="9">
        <f t="shared" si="4"/>
        <v>0</v>
      </c>
      <c r="Q138" s="9">
        <f t="shared" si="4"/>
        <v>0</v>
      </c>
      <c r="R138" s="9">
        <f t="shared" si="4"/>
        <v>0</v>
      </c>
      <c r="S138" s="9">
        <f t="shared" si="4"/>
        <v>40</v>
      </c>
      <c r="T138" s="9">
        <f t="shared" si="4"/>
        <v>53.2</v>
      </c>
      <c r="U138" s="9">
        <f t="shared" si="4"/>
        <v>12</v>
      </c>
      <c r="V138" s="9">
        <f t="shared" si="4"/>
        <v>38.5</v>
      </c>
      <c r="W138" s="14">
        <f t="shared" si="4"/>
        <v>32</v>
      </c>
      <c r="X138" s="9">
        <f t="shared" si="4"/>
        <v>13.5</v>
      </c>
      <c r="Y138" s="9">
        <f t="shared" si="4"/>
        <v>12.3</v>
      </c>
      <c r="Z138" s="9">
        <f t="shared" si="4"/>
        <v>10</v>
      </c>
      <c r="AA138" s="9">
        <f t="shared" si="4"/>
        <v>0.75</v>
      </c>
      <c r="AB138" s="9">
        <f t="shared" si="4"/>
        <v>0</v>
      </c>
      <c r="AC138" s="9">
        <f t="shared" si="4"/>
        <v>0</v>
      </c>
      <c r="AD138" s="9">
        <f t="shared" si="4"/>
        <v>26.18</v>
      </c>
      <c r="AE138" s="9">
        <f t="shared" si="4"/>
        <v>0.5</v>
      </c>
      <c r="AF138" s="9">
        <f t="shared" si="4"/>
        <v>0</v>
      </c>
      <c r="AG138" s="9">
        <f t="shared" si="4"/>
        <v>3.2700000000000005</v>
      </c>
    </row>
    <row r="140" spans="1:33" s="27" customFormat="1" ht="10.5" customHeight="1" x14ac:dyDescent="0.3">
      <c r="A140" s="177" t="s">
        <v>78</v>
      </c>
      <c r="B140" s="178"/>
      <c r="C140" s="26"/>
      <c r="D140" s="26"/>
      <c r="E140" s="26"/>
      <c r="F140" s="26"/>
      <c r="G140" s="26"/>
      <c r="H140" s="26"/>
      <c r="I140" s="10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10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</row>
    <row r="142" spans="1:33" s="105" customFormat="1" ht="10.5" customHeight="1" x14ac:dyDescent="0.25">
      <c r="A142" s="6">
        <v>90</v>
      </c>
      <c r="B142" s="6" t="s">
        <v>160</v>
      </c>
      <c r="C142" s="6">
        <v>130</v>
      </c>
      <c r="D142" s="141">
        <v>97.5</v>
      </c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141">
        <v>5.2</v>
      </c>
      <c r="V142" s="6"/>
      <c r="W142" s="6"/>
      <c r="X142" s="6"/>
      <c r="Y142" s="6"/>
      <c r="Z142" s="6"/>
      <c r="AA142" s="6"/>
      <c r="AB142" s="6"/>
      <c r="AC142" s="6"/>
      <c r="AD142" s="141">
        <v>1.04</v>
      </c>
      <c r="AE142" s="6"/>
      <c r="AF142" s="6"/>
      <c r="AG142" s="141">
        <v>0.2</v>
      </c>
    </row>
    <row r="143" spans="1:33" s="105" customFormat="1" ht="10.5" customHeight="1" x14ac:dyDescent="0.25">
      <c r="A143" s="6">
        <v>341</v>
      </c>
      <c r="B143" s="6" t="s">
        <v>132</v>
      </c>
      <c r="C143" s="6">
        <v>50</v>
      </c>
      <c r="D143" s="6"/>
      <c r="E143" s="6">
        <v>33</v>
      </c>
      <c r="F143" s="6"/>
      <c r="G143" s="6"/>
      <c r="H143" s="6"/>
      <c r="I143" s="6"/>
      <c r="J143" s="6"/>
      <c r="K143" s="6"/>
      <c r="L143" s="6">
        <v>4</v>
      </c>
      <c r="M143" s="6"/>
      <c r="N143" s="6"/>
      <c r="O143" s="6"/>
      <c r="P143" s="141">
        <v>10</v>
      </c>
      <c r="Q143" s="6"/>
      <c r="R143" s="6"/>
      <c r="S143" s="6"/>
      <c r="T143" s="6"/>
      <c r="U143" s="6"/>
      <c r="V143" s="6"/>
      <c r="W143" s="141">
        <v>7</v>
      </c>
      <c r="X143" s="6"/>
      <c r="Y143" s="6">
        <v>2</v>
      </c>
      <c r="Z143" s="6"/>
      <c r="AA143" s="6"/>
      <c r="AB143" s="6"/>
      <c r="AC143" s="6"/>
      <c r="AD143" s="6">
        <v>4</v>
      </c>
      <c r="AE143" s="6"/>
      <c r="AF143" s="6"/>
      <c r="AG143" s="6">
        <v>0.2</v>
      </c>
    </row>
    <row r="144" spans="1:33" s="58" customFormat="1" ht="10.5" customHeight="1" x14ac:dyDescent="0.25">
      <c r="A144" s="48">
        <v>397</v>
      </c>
      <c r="B144" s="48" t="s">
        <v>41</v>
      </c>
      <c r="C144" s="48">
        <v>180</v>
      </c>
      <c r="D144" s="48">
        <v>110</v>
      </c>
      <c r="E144" s="48"/>
      <c r="F144" s="48"/>
      <c r="G144" s="48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>
        <v>2.5</v>
      </c>
      <c r="AC144" s="48"/>
      <c r="AD144" s="48">
        <v>7</v>
      </c>
      <c r="AE144" s="48"/>
      <c r="AF144" s="48"/>
      <c r="AG144" s="48"/>
    </row>
    <row r="145" spans="1:33" s="47" customFormat="1" ht="10.5" customHeight="1" x14ac:dyDescent="0.25">
      <c r="A145" s="48"/>
      <c r="B145" s="48" t="s">
        <v>33</v>
      </c>
      <c r="C145" s="48">
        <v>20</v>
      </c>
      <c r="D145" s="46"/>
      <c r="E145" s="46"/>
      <c r="F145" s="46"/>
      <c r="G145" s="46"/>
      <c r="H145" s="46"/>
      <c r="I145" s="48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>
        <v>20</v>
      </c>
      <c r="U145" s="46"/>
      <c r="V145" s="46"/>
      <c r="W145" s="48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</row>
    <row r="146" spans="1:33" s="47" customFormat="1" ht="10.5" customHeight="1" x14ac:dyDescent="0.25">
      <c r="A146" s="48"/>
      <c r="B146" s="48"/>
      <c r="C146" s="56">
        <f>SUM(C142:C145)</f>
        <v>380</v>
      </c>
      <c r="D146" s="46"/>
      <c r="E146" s="46"/>
      <c r="F146" s="46"/>
      <c r="G146" s="46"/>
      <c r="H146" s="46"/>
      <c r="I146" s="48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8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</row>
    <row r="147" spans="1:33" s="67" customFormat="1" ht="10.5" customHeight="1" x14ac:dyDescent="0.25">
      <c r="A147" s="48">
        <v>399</v>
      </c>
      <c r="B147" s="48" t="s">
        <v>169</v>
      </c>
      <c r="C147" s="48">
        <v>180</v>
      </c>
      <c r="D147" s="51"/>
      <c r="E147" s="51"/>
      <c r="F147" s="51"/>
      <c r="G147" s="51"/>
      <c r="H147" s="51"/>
      <c r="I147" s="48"/>
      <c r="J147" s="51"/>
      <c r="K147" s="51"/>
      <c r="L147" s="51"/>
      <c r="M147" s="51"/>
      <c r="N147" s="51"/>
      <c r="O147" s="51"/>
      <c r="P147" s="51"/>
      <c r="Q147" s="51">
        <v>180</v>
      </c>
      <c r="R147" s="51"/>
      <c r="S147" s="51"/>
      <c r="T147" s="51"/>
      <c r="U147" s="51"/>
      <c r="V147" s="51"/>
      <c r="W147" s="48"/>
      <c r="X147" s="51"/>
      <c r="Y147" s="51"/>
      <c r="Z147" s="51"/>
      <c r="AA147" s="51"/>
      <c r="AB147" s="51"/>
      <c r="AC147" s="51"/>
      <c r="AD147" s="51"/>
      <c r="AE147" s="51"/>
      <c r="AF147" s="51"/>
      <c r="AG147" s="51"/>
    </row>
    <row r="148" spans="1:33" s="105" customFormat="1" ht="10.5" customHeight="1" x14ac:dyDescent="0.25">
      <c r="A148" s="6">
        <v>368</v>
      </c>
      <c r="B148" s="6" t="s">
        <v>37</v>
      </c>
      <c r="C148" s="6">
        <v>95</v>
      </c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>
        <v>95</v>
      </c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</row>
    <row r="149" spans="1:33" s="47" customFormat="1" ht="10.5" customHeight="1" x14ac:dyDescent="0.25">
      <c r="A149" s="46"/>
      <c r="B149" s="46"/>
      <c r="C149" s="46"/>
      <c r="D149" s="46"/>
      <c r="E149" s="46"/>
      <c r="F149" s="46"/>
      <c r="G149" s="46"/>
      <c r="H149" s="46"/>
      <c r="I149" s="48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8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</row>
    <row r="150" spans="1:33" s="58" customFormat="1" ht="10.5" customHeight="1" x14ac:dyDescent="0.25">
      <c r="A150" s="48">
        <v>36</v>
      </c>
      <c r="B150" s="48" t="s">
        <v>206</v>
      </c>
      <c r="C150" s="48">
        <v>40</v>
      </c>
      <c r="D150" s="48"/>
      <c r="E150" s="48"/>
      <c r="F150" s="48"/>
      <c r="G150" s="48"/>
      <c r="H150" s="48"/>
      <c r="I150" s="48"/>
      <c r="J150" s="48"/>
      <c r="K150" s="48"/>
      <c r="L150" s="48"/>
      <c r="M150" s="48"/>
      <c r="N150" s="48">
        <v>38</v>
      </c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>
        <v>0.24</v>
      </c>
      <c r="Z150" s="48"/>
      <c r="AA150" s="48"/>
      <c r="AB150" s="48"/>
      <c r="AC150" s="48"/>
      <c r="AD150" s="48"/>
      <c r="AE150" s="48"/>
      <c r="AF150" s="48"/>
      <c r="AG150" s="48">
        <v>0.05</v>
      </c>
    </row>
    <row r="151" spans="1:33" s="58" customFormat="1" ht="10.5" customHeight="1" x14ac:dyDescent="0.25">
      <c r="A151" s="48">
        <v>81</v>
      </c>
      <c r="B151" s="48" t="s">
        <v>205</v>
      </c>
      <c r="C151" s="48">
        <v>160</v>
      </c>
      <c r="D151" s="48"/>
      <c r="E151" s="48"/>
      <c r="F151" s="48"/>
      <c r="G151" s="48"/>
      <c r="H151" s="48"/>
      <c r="I151" s="48"/>
      <c r="J151" s="48"/>
      <c r="K151" s="48"/>
      <c r="L151" s="48"/>
      <c r="M151" s="48">
        <v>32</v>
      </c>
      <c r="N151" s="48">
        <v>14.4</v>
      </c>
      <c r="O151" s="48"/>
      <c r="P151" s="48"/>
      <c r="Q151" s="48"/>
      <c r="R151" s="48"/>
      <c r="S151" s="48"/>
      <c r="T151" s="48"/>
      <c r="U151" s="48">
        <v>12.8</v>
      </c>
      <c r="V151" s="48"/>
      <c r="W151" s="48"/>
      <c r="X151" s="48"/>
      <c r="Y151" s="48">
        <v>3.2</v>
      </c>
      <c r="Z151" s="48"/>
      <c r="AA151" s="48"/>
      <c r="AB151" s="48"/>
      <c r="AC151" s="48"/>
      <c r="AD151" s="48"/>
      <c r="AE151" s="48"/>
      <c r="AF151" s="48"/>
      <c r="AG151" s="48">
        <v>0.15</v>
      </c>
    </row>
    <row r="152" spans="1:33" s="49" customFormat="1" ht="10.5" customHeight="1" x14ac:dyDescent="0.25">
      <c r="A152" s="48">
        <v>308</v>
      </c>
      <c r="B152" s="48" t="s">
        <v>102</v>
      </c>
      <c r="C152" s="48">
        <v>60</v>
      </c>
      <c r="D152" s="45">
        <v>14</v>
      </c>
      <c r="E152" s="45"/>
      <c r="F152" s="45"/>
      <c r="G152" s="45"/>
      <c r="H152" s="45"/>
      <c r="I152" s="48">
        <v>44</v>
      </c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>
        <v>11</v>
      </c>
      <c r="U152" s="45"/>
      <c r="V152" s="45"/>
      <c r="W152" s="48"/>
      <c r="X152" s="139"/>
      <c r="Y152" s="45"/>
      <c r="Z152" s="45"/>
      <c r="AA152" s="45"/>
      <c r="AB152" s="45"/>
      <c r="AC152" s="45"/>
      <c r="AD152" s="45"/>
      <c r="AE152" s="45"/>
      <c r="AF152" s="45"/>
      <c r="AG152" s="45">
        <v>0.15</v>
      </c>
    </row>
    <row r="153" spans="1:33" s="58" customFormat="1" ht="10.5" customHeight="1" x14ac:dyDescent="0.25">
      <c r="A153" s="48">
        <v>333</v>
      </c>
      <c r="B153" s="48" t="s">
        <v>43</v>
      </c>
      <c r="C153" s="139">
        <v>50</v>
      </c>
      <c r="D153" s="48"/>
      <c r="E153" s="48"/>
      <c r="F153" s="48"/>
      <c r="G153" s="48"/>
      <c r="H153" s="48"/>
      <c r="I153" s="48"/>
      <c r="J153" s="48"/>
      <c r="K153" s="48"/>
      <c r="L153" s="48"/>
      <c r="M153" s="139">
        <v>50</v>
      </c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139">
        <v>1.75</v>
      </c>
      <c r="Y153" s="48"/>
      <c r="Z153" s="48"/>
      <c r="AA153" s="48"/>
      <c r="AB153" s="48"/>
      <c r="AC153" s="48"/>
      <c r="AD153" s="48"/>
      <c r="AE153" s="48"/>
      <c r="AF153" s="48"/>
      <c r="AG153" s="139">
        <v>0.65</v>
      </c>
    </row>
    <row r="154" spans="1:33" s="47" customFormat="1" ht="10.5" customHeight="1" x14ac:dyDescent="0.25">
      <c r="A154" s="48">
        <v>384</v>
      </c>
      <c r="B154" s="48" t="s">
        <v>42</v>
      </c>
      <c r="C154" s="48">
        <v>150</v>
      </c>
      <c r="D154" s="45">
        <v>126</v>
      </c>
      <c r="E154" s="45"/>
      <c r="F154" s="45"/>
      <c r="G154" s="45"/>
      <c r="H154" s="45"/>
      <c r="I154" s="48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8"/>
      <c r="X154" s="45"/>
      <c r="Y154" s="45"/>
      <c r="Z154" s="45"/>
      <c r="AA154" s="45"/>
      <c r="AB154" s="45"/>
      <c r="AC154" s="45"/>
      <c r="AD154" s="117">
        <v>10</v>
      </c>
      <c r="AE154" s="45"/>
      <c r="AF154" s="45">
        <v>3.3</v>
      </c>
      <c r="AG154" s="45"/>
    </row>
    <row r="155" spans="1:33" s="47" customFormat="1" ht="10.5" customHeight="1" x14ac:dyDescent="0.25">
      <c r="A155" s="48"/>
      <c r="B155" s="48" t="s">
        <v>33</v>
      </c>
      <c r="C155" s="48">
        <v>20</v>
      </c>
      <c r="D155" s="46"/>
      <c r="E155" s="46"/>
      <c r="F155" s="46"/>
      <c r="G155" s="46"/>
      <c r="H155" s="46"/>
      <c r="I155" s="48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>
        <v>20</v>
      </c>
      <c r="U155" s="46"/>
      <c r="V155" s="46"/>
      <c r="W155" s="48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</row>
    <row r="156" spans="1:33" s="47" customFormat="1" ht="10.5" customHeight="1" x14ac:dyDescent="0.25">
      <c r="A156" s="48"/>
      <c r="B156" s="48"/>
      <c r="C156" s="56">
        <f>SUM(C150:C155)</f>
        <v>480</v>
      </c>
      <c r="D156" s="46"/>
      <c r="E156" s="46"/>
      <c r="F156" s="46"/>
      <c r="G156" s="46"/>
      <c r="H156" s="46"/>
      <c r="I156" s="48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8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</row>
    <row r="157" spans="1:33" s="105" customFormat="1" ht="10.5" customHeight="1" x14ac:dyDescent="0.25">
      <c r="A157" s="6">
        <v>52</v>
      </c>
      <c r="B157" s="6" t="s">
        <v>138</v>
      </c>
      <c r="C157" s="6">
        <v>40</v>
      </c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143">
        <v>43</v>
      </c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>
        <v>2</v>
      </c>
      <c r="Z157" s="6"/>
      <c r="AA157" s="6"/>
      <c r="AB157" s="6"/>
      <c r="AC157" s="6"/>
      <c r="AD157" s="6">
        <v>0.48</v>
      </c>
      <c r="AE157" s="6"/>
      <c r="AF157" s="6"/>
      <c r="AG157" s="6">
        <v>0.1</v>
      </c>
    </row>
    <row r="158" spans="1:33" s="47" customFormat="1" ht="10.5" customHeight="1" x14ac:dyDescent="0.25">
      <c r="A158" s="48">
        <v>242</v>
      </c>
      <c r="B158" s="48" t="s">
        <v>105</v>
      </c>
      <c r="C158" s="48">
        <v>60</v>
      </c>
      <c r="D158" s="46"/>
      <c r="E158" s="46"/>
      <c r="F158" s="46"/>
      <c r="G158" s="46"/>
      <c r="H158" s="46"/>
      <c r="I158" s="48"/>
      <c r="J158" s="46">
        <v>76</v>
      </c>
      <c r="K158" s="46"/>
      <c r="L158" s="46"/>
      <c r="M158" s="46"/>
      <c r="N158" s="46">
        <v>8</v>
      </c>
      <c r="O158" s="46"/>
      <c r="P158" s="46"/>
      <c r="Q158" s="46"/>
      <c r="R158" s="46"/>
      <c r="S158" s="46"/>
      <c r="T158" s="46"/>
      <c r="U158" s="46"/>
      <c r="V158" s="46"/>
      <c r="W158" s="48"/>
      <c r="X158" s="46"/>
      <c r="Y158" s="46"/>
      <c r="Z158" s="46"/>
      <c r="AA158" s="46"/>
      <c r="AB158" s="46"/>
      <c r="AC158" s="46"/>
      <c r="AD158" s="46"/>
      <c r="AE158" s="46"/>
      <c r="AF158" s="46"/>
      <c r="AG158" s="140">
        <v>0.1</v>
      </c>
    </row>
    <row r="159" spans="1:33" s="47" customFormat="1" ht="10.5" customHeight="1" x14ac:dyDescent="0.25">
      <c r="A159" s="48">
        <v>321</v>
      </c>
      <c r="B159" s="48" t="s">
        <v>38</v>
      </c>
      <c r="C159" s="48">
        <v>120</v>
      </c>
      <c r="D159" s="46">
        <v>18</v>
      </c>
      <c r="E159" s="46"/>
      <c r="F159" s="46"/>
      <c r="G159" s="46"/>
      <c r="H159" s="46"/>
      <c r="I159" s="48"/>
      <c r="J159" s="46"/>
      <c r="K159" s="46"/>
      <c r="L159" s="46"/>
      <c r="M159" s="46">
        <v>102.6</v>
      </c>
      <c r="N159" s="46"/>
      <c r="O159" s="46"/>
      <c r="P159" s="46"/>
      <c r="Q159" s="46"/>
      <c r="R159" s="46"/>
      <c r="S159" s="46"/>
      <c r="T159" s="46"/>
      <c r="U159" s="46"/>
      <c r="V159" s="46"/>
      <c r="W159" s="48"/>
      <c r="X159" s="46">
        <v>5.25</v>
      </c>
      <c r="Y159" s="46"/>
      <c r="Z159" s="46"/>
      <c r="AA159" s="46"/>
      <c r="AB159" s="46"/>
      <c r="AC159" s="46"/>
      <c r="AD159" s="46"/>
      <c r="AE159" s="46"/>
      <c r="AF159" s="46"/>
      <c r="AG159" s="46">
        <v>0.5</v>
      </c>
    </row>
    <row r="160" spans="1:33" s="47" customFormat="1" ht="10.5" customHeight="1" x14ac:dyDescent="0.25">
      <c r="A160" s="48">
        <v>463</v>
      </c>
      <c r="B160" s="48" t="s">
        <v>161</v>
      </c>
      <c r="C160" s="48">
        <v>37</v>
      </c>
      <c r="D160" s="46">
        <v>3.7</v>
      </c>
      <c r="E160" s="46"/>
      <c r="F160" s="46"/>
      <c r="G160" s="46"/>
      <c r="H160" s="46"/>
      <c r="I160" s="48"/>
      <c r="J160" s="46"/>
      <c r="K160" s="46"/>
      <c r="L160" s="46">
        <v>2.5</v>
      </c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8">
        <v>21.7</v>
      </c>
      <c r="X160" s="46">
        <v>4.9000000000000004</v>
      </c>
      <c r="Y160" s="46"/>
      <c r="Z160" s="46"/>
      <c r="AA160" s="46"/>
      <c r="AB160" s="46"/>
      <c r="AC160" s="46"/>
      <c r="AD160" s="46">
        <v>10.4</v>
      </c>
      <c r="AE160" s="46"/>
      <c r="AF160" s="46"/>
      <c r="AG160" s="140">
        <v>0.5</v>
      </c>
    </row>
    <row r="161" spans="1:34" s="47" customFormat="1" ht="10.5" customHeight="1" x14ac:dyDescent="0.25">
      <c r="A161" s="48">
        <v>395</v>
      </c>
      <c r="B161" s="48" t="s">
        <v>157</v>
      </c>
      <c r="C161" s="48">
        <v>150</v>
      </c>
      <c r="D161" s="46">
        <v>75</v>
      </c>
      <c r="E161" s="46"/>
      <c r="F161" s="46"/>
      <c r="G161" s="46"/>
      <c r="H161" s="46"/>
      <c r="I161" s="48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8"/>
      <c r="X161" s="46"/>
      <c r="Y161" s="46"/>
      <c r="Z161" s="46"/>
      <c r="AA161" s="46"/>
      <c r="AB161" s="46"/>
      <c r="AC161" s="46">
        <v>3.3</v>
      </c>
      <c r="AD161" s="46">
        <v>4</v>
      </c>
      <c r="AE161" s="46"/>
      <c r="AF161" s="46"/>
      <c r="AG161" s="46"/>
    </row>
    <row r="162" spans="1:34" s="47" customFormat="1" ht="10.5" customHeight="1" x14ac:dyDescent="0.25">
      <c r="A162" s="48"/>
      <c r="B162" s="48" t="s">
        <v>151</v>
      </c>
      <c r="C162" s="48">
        <v>50</v>
      </c>
      <c r="D162" s="46"/>
      <c r="E162" s="46"/>
      <c r="F162" s="46"/>
      <c r="G162" s="46"/>
      <c r="H162" s="46"/>
      <c r="I162" s="48"/>
      <c r="J162" s="46"/>
      <c r="K162" s="46"/>
      <c r="L162" s="46"/>
      <c r="M162" s="46"/>
      <c r="N162" s="46"/>
      <c r="O162" s="46"/>
      <c r="P162" s="46"/>
      <c r="Q162" s="46"/>
      <c r="R162" s="46"/>
      <c r="S162" s="46">
        <v>50</v>
      </c>
      <c r="T162" s="46"/>
      <c r="U162" s="46"/>
      <c r="V162" s="46"/>
      <c r="W162" s="48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</row>
    <row r="163" spans="1:34" s="47" customFormat="1" ht="10.5" customHeight="1" x14ac:dyDescent="0.25">
      <c r="A163" s="48"/>
      <c r="B163" s="48"/>
      <c r="C163" s="72">
        <f>SUM(C157:C162)</f>
        <v>457</v>
      </c>
      <c r="D163" s="46"/>
      <c r="E163" s="46"/>
      <c r="F163" s="46"/>
      <c r="G163" s="46"/>
      <c r="H163" s="46"/>
      <c r="I163" s="48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8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</row>
    <row r="164" spans="1:34" s="11" customFormat="1" ht="10.5" customHeight="1" x14ac:dyDescent="0.25">
      <c r="A164" s="9"/>
      <c r="B164" s="17" t="s">
        <v>79</v>
      </c>
      <c r="C164" s="9"/>
      <c r="D164" s="9">
        <f t="shared" ref="D164:AG164" si="5">SUM(D141:D163)</f>
        <v>444.2</v>
      </c>
      <c r="E164" s="9">
        <f t="shared" si="5"/>
        <v>33</v>
      </c>
      <c r="F164" s="9">
        <f t="shared" si="5"/>
        <v>0</v>
      </c>
      <c r="G164" s="9">
        <f t="shared" si="5"/>
        <v>0</v>
      </c>
      <c r="H164" s="9">
        <f t="shared" si="5"/>
        <v>0</v>
      </c>
      <c r="I164" s="14">
        <f t="shared" si="5"/>
        <v>44</v>
      </c>
      <c r="J164" s="9">
        <f t="shared" si="5"/>
        <v>76</v>
      </c>
      <c r="K164" s="9">
        <f t="shared" si="5"/>
        <v>0</v>
      </c>
      <c r="L164" s="9">
        <f t="shared" si="5"/>
        <v>6.5</v>
      </c>
      <c r="M164" s="9">
        <f t="shared" si="5"/>
        <v>184.6</v>
      </c>
      <c r="N164" s="9">
        <f t="shared" si="5"/>
        <v>103.4</v>
      </c>
      <c r="O164" s="9">
        <f t="shared" si="5"/>
        <v>95</v>
      </c>
      <c r="P164" s="9">
        <f t="shared" si="5"/>
        <v>10</v>
      </c>
      <c r="Q164" s="9">
        <f t="shared" si="5"/>
        <v>180</v>
      </c>
      <c r="R164" s="9">
        <f t="shared" si="5"/>
        <v>0</v>
      </c>
      <c r="S164" s="9">
        <f t="shared" si="5"/>
        <v>50</v>
      </c>
      <c r="T164" s="9">
        <f t="shared" si="5"/>
        <v>51</v>
      </c>
      <c r="U164" s="9">
        <f t="shared" si="5"/>
        <v>18</v>
      </c>
      <c r="V164" s="9">
        <f t="shared" si="5"/>
        <v>0</v>
      </c>
      <c r="W164" s="14">
        <f t="shared" si="5"/>
        <v>28.7</v>
      </c>
      <c r="X164" s="9">
        <f t="shared" si="5"/>
        <v>11.9</v>
      </c>
      <c r="Y164" s="9">
        <f t="shared" si="5"/>
        <v>7.44</v>
      </c>
      <c r="Z164" s="9">
        <f t="shared" si="5"/>
        <v>0</v>
      </c>
      <c r="AA164" s="9">
        <f t="shared" si="5"/>
        <v>0</v>
      </c>
      <c r="AB164" s="9">
        <f t="shared" si="5"/>
        <v>2.5</v>
      </c>
      <c r="AC164" s="9">
        <f t="shared" si="5"/>
        <v>3.3</v>
      </c>
      <c r="AD164" s="9">
        <f t="shared" si="5"/>
        <v>36.92</v>
      </c>
      <c r="AE164" s="9">
        <f t="shared" si="5"/>
        <v>0</v>
      </c>
      <c r="AF164" s="9">
        <f t="shared" si="5"/>
        <v>3.3</v>
      </c>
      <c r="AG164" s="9">
        <f t="shared" si="5"/>
        <v>2.6</v>
      </c>
    </row>
    <row r="165" spans="1:34" s="21" customFormat="1" ht="10.5" customHeight="1" x14ac:dyDescent="0.25">
      <c r="A165" s="19"/>
      <c r="B165" s="20"/>
      <c r="C165" s="19"/>
      <c r="D165" s="19"/>
      <c r="E165" s="19"/>
      <c r="F165" s="19"/>
      <c r="G165" s="19"/>
      <c r="H165" s="19"/>
      <c r="I165" s="30"/>
      <c r="J165" s="19"/>
      <c r="K165" s="19"/>
      <c r="L165" s="19"/>
      <c r="M165" s="19"/>
      <c r="N165" s="19"/>
      <c r="O165" s="19"/>
      <c r="P165" s="19"/>
      <c r="Q165" s="19"/>
      <c r="R165" s="19"/>
      <c r="S165" s="19"/>
      <c r="T165" s="19"/>
      <c r="U165" s="19"/>
      <c r="V165" s="19"/>
      <c r="W165" s="111"/>
      <c r="X165" s="19"/>
      <c r="Y165" s="19"/>
      <c r="Z165" s="19"/>
      <c r="AA165" s="19"/>
      <c r="AB165" s="19"/>
      <c r="AC165" s="19"/>
      <c r="AD165" s="19"/>
      <c r="AE165" s="19"/>
      <c r="AF165" s="19"/>
      <c r="AG165" s="19"/>
    </row>
    <row r="166" spans="1:34" s="40" customFormat="1" ht="10.5" customHeight="1" x14ac:dyDescent="0.3">
      <c r="A166" s="177" t="s">
        <v>80</v>
      </c>
      <c r="B166" s="178"/>
      <c r="C166" s="26"/>
      <c r="D166" s="26"/>
      <c r="E166" s="26"/>
      <c r="F166" s="26"/>
      <c r="G166" s="26"/>
      <c r="H166" s="26"/>
      <c r="I166" s="10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  <c r="V166" s="26"/>
      <c r="W166" s="10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</row>
    <row r="167" spans="1:34" s="58" customFormat="1" ht="10.5" customHeight="1" x14ac:dyDescent="0.25">
      <c r="A167" s="48">
        <v>3</v>
      </c>
      <c r="B167" s="48" t="s">
        <v>131</v>
      </c>
      <c r="C167" s="48">
        <v>35</v>
      </c>
      <c r="D167" s="48"/>
      <c r="E167" s="48"/>
      <c r="F167" s="48"/>
      <c r="G167" s="48">
        <v>5</v>
      </c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>
        <v>30</v>
      </c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</row>
    <row r="168" spans="1:34" s="58" customFormat="1" ht="10.5" customHeight="1" x14ac:dyDescent="0.25">
      <c r="A168" s="48">
        <v>185</v>
      </c>
      <c r="B168" s="48" t="s">
        <v>120</v>
      </c>
      <c r="C168" s="48">
        <v>150</v>
      </c>
      <c r="D168" s="48">
        <v>153.19999999999999</v>
      </c>
      <c r="E168" s="48"/>
      <c r="F168" s="48"/>
      <c r="G168" s="48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>
        <v>26.82</v>
      </c>
      <c r="V168" s="48"/>
      <c r="W168" s="48"/>
      <c r="X168" s="48"/>
      <c r="Y168" s="48"/>
      <c r="Z168" s="48"/>
      <c r="AA168" s="48"/>
      <c r="AB168" s="48"/>
      <c r="AC168" s="48"/>
      <c r="AD168" s="48">
        <v>4.8</v>
      </c>
      <c r="AE168" s="48"/>
      <c r="AF168" s="48"/>
      <c r="AG168" s="48">
        <v>0.3</v>
      </c>
    </row>
    <row r="169" spans="1:34" s="58" customFormat="1" ht="10.5" customHeight="1" x14ac:dyDescent="0.25">
      <c r="A169" s="48">
        <v>395</v>
      </c>
      <c r="B169" s="48" t="s">
        <v>31</v>
      </c>
      <c r="C169" s="6">
        <v>150</v>
      </c>
      <c r="D169" s="48">
        <v>75</v>
      </c>
      <c r="E169" s="48"/>
      <c r="F169" s="48"/>
      <c r="G169" s="48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138">
        <v>3.3</v>
      </c>
      <c r="AD169" s="48">
        <v>5</v>
      </c>
      <c r="AE169" s="48"/>
      <c r="AF169" s="48"/>
      <c r="AG169" s="48"/>
    </row>
    <row r="170" spans="1:34" s="47" customFormat="1" ht="10.5" customHeight="1" x14ac:dyDescent="0.25">
      <c r="A170" s="48"/>
      <c r="B170" s="48" t="s">
        <v>37</v>
      </c>
      <c r="C170" s="48">
        <v>95</v>
      </c>
      <c r="D170" s="46"/>
      <c r="E170" s="46"/>
      <c r="F170" s="46"/>
      <c r="G170" s="46"/>
      <c r="H170" s="46"/>
      <c r="I170" s="48"/>
      <c r="J170" s="46"/>
      <c r="K170" s="46"/>
      <c r="L170" s="46"/>
      <c r="M170" s="46"/>
      <c r="N170" s="46"/>
      <c r="O170" s="46">
        <v>95</v>
      </c>
      <c r="P170" s="46"/>
      <c r="Q170" s="46"/>
      <c r="R170" s="46"/>
      <c r="S170" s="46"/>
      <c r="T170" s="46"/>
      <c r="U170" s="46"/>
      <c r="V170" s="46"/>
      <c r="W170" s="48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</row>
    <row r="171" spans="1:34" s="49" customFormat="1" ht="13.5" customHeight="1" x14ac:dyDescent="0.25">
      <c r="A171" s="48"/>
      <c r="B171" s="48"/>
      <c r="C171" s="73">
        <f>SUM(C167:C170)</f>
        <v>430</v>
      </c>
      <c r="D171" s="55"/>
      <c r="E171" s="55"/>
      <c r="F171" s="55"/>
      <c r="G171" s="55"/>
      <c r="H171" s="55"/>
      <c r="I171" s="65"/>
      <c r="J171" s="55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65"/>
      <c r="X171" s="55"/>
      <c r="Y171" s="55"/>
      <c r="Z171" s="55"/>
      <c r="AA171" s="55"/>
      <c r="AB171" s="55"/>
      <c r="AC171" s="55"/>
      <c r="AD171" s="55"/>
      <c r="AE171" s="55"/>
      <c r="AF171" s="55"/>
      <c r="AG171" s="55"/>
    </row>
    <row r="172" spans="1:34" s="49" customFormat="1" ht="13.5" customHeight="1" x14ac:dyDescent="0.25">
      <c r="A172" s="48"/>
      <c r="B172" s="48"/>
      <c r="C172" s="73"/>
      <c r="D172" s="55"/>
      <c r="E172" s="55"/>
      <c r="F172" s="55"/>
      <c r="G172" s="55"/>
      <c r="H172" s="55"/>
      <c r="I172" s="6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65"/>
      <c r="X172" s="55"/>
      <c r="Y172" s="55"/>
      <c r="Z172" s="55"/>
      <c r="AA172" s="55"/>
      <c r="AB172" s="55"/>
      <c r="AC172" s="55"/>
      <c r="AD172" s="55"/>
      <c r="AE172" s="55"/>
      <c r="AF172" s="55"/>
      <c r="AG172" s="55"/>
    </row>
    <row r="173" spans="1:34" s="49" customFormat="1" ht="10.5" customHeight="1" x14ac:dyDescent="0.25">
      <c r="A173" s="48">
        <v>399</v>
      </c>
      <c r="B173" s="48" t="s">
        <v>169</v>
      </c>
      <c r="C173" s="74">
        <v>150</v>
      </c>
      <c r="D173" s="75"/>
      <c r="E173" s="75"/>
      <c r="F173" s="75"/>
      <c r="G173" s="75"/>
      <c r="H173" s="45"/>
      <c r="I173" s="48"/>
      <c r="J173" s="45"/>
      <c r="K173" s="45"/>
      <c r="L173" s="45"/>
      <c r="M173" s="45"/>
      <c r="N173" s="45"/>
      <c r="O173" s="45"/>
      <c r="P173" s="45"/>
      <c r="Q173" s="45">
        <v>150</v>
      </c>
      <c r="R173" s="45"/>
      <c r="S173" s="45"/>
      <c r="T173" s="45"/>
      <c r="U173" s="45"/>
      <c r="V173" s="45"/>
      <c r="W173" s="48"/>
      <c r="X173" s="45"/>
      <c r="Y173" s="45"/>
      <c r="Z173" s="45"/>
      <c r="AA173" s="45"/>
      <c r="AB173" s="45"/>
      <c r="AC173" s="45"/>
      <c r="AD173" s="45"/>
      <c r="AE173" s="45"/>
      <c r="AF173" s="45"/>
      <c r="AG173" s="45"/>
    </row>
    <row r="174" spans="1:34" s="49" customFormat="1" ht="10.5" customHeight="1" x14ac:dyDescent="0.25">
      <c r="A174" s="48"/>
      <c r="B174" s="48" t="s">
        <v>201</v>
      </c>
      <c r="C174" s="74">
        <v>20</v>
      </c>
      <c r="D174" s="75"/>
      <c r="E174" s="75"/>
      <c r="F174" s="75"/>
      <c r="G174" s="75"/>
      <c r="H174" s="45"/>
      <c r="I174" s="48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8"/>
      <c r="X174" s="45"/>
      <c r="Y174" s="45"/>
      <c r="Z174" s="45">
        <v>20</v>
      </c>
      <c r="AA174" s="45"/>
      <c r="AB174" s="45"/>
      <c r="AC174" s="45"/>
      <c r="AD174" s="45"/>
      <c r="AE174" s="45"/>
      <c r="AF174" s="45"/>
      <c r="AG174" s="45"/>
    </row>
    <row r="175" spans="1:34" s="49" customFormat="1" ht="10.5" customHeight="1" x14ac:dyDescent="0.25">
      <c r="A175" s="48"/>
      <c r="B175" s="48"/>
      <c r="C175" s="48"/>
      <c r="D175" s="45"/>
      <c r="E175" s="45"/>
      <c r="F175" s="45"/>
      <c r="G175" s="45"/>
      <c r="H175" s="45"/>
      <c r="I175" s="48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8"/>
      <c r="X175" s="45"/>
      <c r="Y175" s="45"/>
      <c r="Z175" s="45"/>
      <c r="AA175" s="45"/>
      <c r="AB175" s="45"/>
      <c r="AC175" s="45"/>
      <c r="AD175" s="45"/>
      <c r="AE175" s="45"/>
      <c r="AF175" s="45"/>
      <c r="AG175" s="45"/>
    </row>
    <row r="176" spans="1:34" s="58" customFormat="1" ht="10.5" customHeight="1" x14ac:dyDescent="0.25">
      <c r="A176" s="48" t="s">
        <v>44</v>
      </c>
      <c r="B176" s="48" t="s">
        <v>212</v>
      </c>
      <c r="C176" s="139">
        <v>40</v>
      </c>
      <c r="D176" s="48"/>
      <c r="E176" s="48"/>
      <c r="F176" s="48"/>
      <c r="G176" s="48"/>
      <c r="H176" s="48"/>
      <c r="I176" s="48"/>
      <c r="J176" s="48"/>
      <c r="K176" s="48"/>
      <c r="L176" s="48"/>
      <c r="M176" s="48"/>
      <c r="N176" s="139">
        <v>32.4</v>
      </c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139">
        <v>2</v>
      </c>
      <c r="Z176" s="48"/>
      <c r="AA176" s="48"/>
      <c r="AB176" s="48"/>
      <c r="AC176" s="48"/>
      <c r="AD176" s="139">
        <v>1.5</v>
      </c>
      <c r="AE176" s="48"/>
      <c r="AF176" s="48"/>
      <c r="AG176" s="48"/>
    </row>
    <row r="177" spans="1:33" s="58" customFormat="1" ht="10.5" customHeight="1" x14ac:dyDescent="0.25">
      <c r="A177" s="58">
        <v>84</v>
      </c>
      <c r="B177" s="48" t="s">
        <v>213</v>
      </c>
      <c r="C177" s="58">
        <v>180</v>
      </c>
      <c r="D177" s="48"/>
      <c r="E177" s="48"/>
      <c r="F177" s="48"/>
      <c r="G177" s="48"/>
      <c r="H177" s="48"/>
      <c r="I177" s="48"/>
      <c r="J177" s="48">
        <v>23.5</v>
      </c>
      <c r="K177" s="48"/>
      <c r="L177" s="48">
        <v>1.3</v>
      </c>
      <c r="M177" s="48">
        <v>72</v>
      </c>
      <c r="N177" s="48">
        <v>19.399999999999999</v>
      </c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>
        <v>1.8</v>
      </c>
      <c r="Z177" s="48"/>
      <c r="AA177" s="48"/>
      <c r="AB177" s="48"/>
      <c r="AC177" s="48"/>
      <c r="AD177" s="48"/>
      <c r="AE177" s="48"/>
      <c r="AF177" s="48"/>
      <c r="AG177" s="139">
        <v>0.5</v>
      </c>
    </row>
    <row r="178" spans="1:33" s="49" customFormat="1" ht="10.5" customHeight="1" x14ac:dyDescent="0.25">
      <c r="A178" s="48">
        <v>280</v>
      </c>
      <c r="B178" s="48" t="s">
        <v>103</v>
      </c>
      <c r="C178" s="48">
        <v>60</v>
      </c>
      <c r="D178" s="45"/>
      <c r="E178" s="45"/>
      <c r="F178" s="45"/>
      <c r="G178" s="45"/>
      <c r="H178" s="139">
        <v>39.799999999999997</v>
      </c>
      <c r="I178" s="48"/>
      <c r="J178" s="45"/>
      <c r="K178" s="45"/>
      <c r="L178" s="139">
        <v>10</v>
      </c>
      <c r="M178" s="45"/>
      <c r="N178" s="139">
        <v>13.5</v>
      </c>
      <c r="O178" s="45"/>
      <c r="P178" s="45"/>
      <c r="Q178" s="45"/>
      <c r="R178" s="45"/>
      <c r="S178" s="45"/>
      <c r="T178" s="45"/>
      <c r="U178" s="45"/>
      <c r="V178" s="45"/>
      <c r="W178" s="139">
        <v>2.2000000000000002</v>
      </c>
      <c r="X178" s="117">
        <v>2.2000000000000002</v>
      </c>
      <c r="Y178" s="45"/>
      <c r="Z178" s="45"/>
      <c r="AA178" s="45"/>
      <c r="AB178" s="45"/>
      <c r="AC178" s="45"/>
      <c r="AD178" s="45"/>
      <c r="AE178" s="45"/>
      <c r="AF178" s="45"/>
      <c r="AG178" s="139">
        <v>0.6</v>
      </c>
    </row>
    <row r="179" spans="1:33" s="105" customFormat="1" ht="10.5" customHeight="1" x14ac:dyDescent="0.25">
      <c r="A179" s="6">
        <v>320</v>
      </c>
      <c r="B179" s="6" t="s">
        <v>135</v>
      </c>
      <c r="C179" s="6">
        <v>100</v>
      </c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>
        <v>105.4</v>
      </c>
      <c r="O179" s="6"/>
      <c r="P179" s="6"/>
      <c r="Q179" s="6"/>
      <c r="R179" s="6"/>
      <c r="S179" s="6"/>
      <c r="T179" s="6"/>
      <c r="U179" s="6"/>
      <c r="V179" s="6"/>
      <c r="W179" s="6"/>
      <c r="X179" s="6">
        <v>3.5</v>
      </c>
      <c r="Y179" s="6"/>
      <c r="Z179" s="6"/>
      <c r="AA179" s="6"/>
      <c r="AB179" s="6"/>
      <c r="AC179" s="6"/>
      <c r="AD179" s="6"/>
      <c r="AE179" s="6"/>
      <c r="AF179" s="6"/>
      <c r="AG179" s="6">
        <v>0.25</v>
      </c>
    </row>
    <row r="180" spans="1:33" ht="10.5" customHeight="1" x14ac:dyDescent="0.25">
      <c r="A180" s="6">
        <v>379</v>
      </c>
      <c r="B180" s="6" t="s">
        <v>164</v>
      </c>
      <c r="C180" s="6">
        <v>150</v>
      </c>
      <c r="P180" s="142">
        <v>15</v>
      </c>
      <c r="W180" s="6"/>
      <c r="AD180" s="5">
        <v>7</v>
      </c>
      <c r="AF180" s="5">
        <v>3.4</v>
      </c>
    </row>
    <row r="181" spans="1:33" s="49" customFormat="1" ht="10.5" customHeight="1" x14ac:dyDescent="0.25">
      <c r="A181" s="48"/>
      <c r="B181" s="48" t="s">
        <v>151</v>
      </c>
      <c r="C181" s="48">
        <v>40</v>
      </c>
      <c r="D181" s="45"/>
      <c r="E181" s="45"/>
      <c r="F181" s="45"/>
      <c r="G181" s="45"/>
      <c r="H181" s="45"/>
      <c r="I181" s="48"/>
      <c r="J181" s="45"/>
      <c r="K181" s="45"/>
      <c r="L181" s="45"/>
      <c r="M181" s="45"/>
      <c r="N181" s="45"/>
      <c r="O181" s="45"/>
      <c r="P181" s="45"/>
      <c r="Q181" s="45"/>
      <c r="R181" s="45"/>
      <c r="S181" s="45">
        <v>40</v>
      </c>
      <c r="T181" s="45"/>
      <c r="U181" s="45"/>
      <c r="V181" s="45"/>
      <c r="W181" s="48"/>
      <c r="X181" s="45"/>
      <c r="Y181" s="45"/>
      <c r="Z181" s="45"/>
      <c r="AA181" s="45"/>
      <c r="AB181" s="45"/>
      <c r="AC181" s="45"/>
      <c r="AD181" s="45"/>
      <c r="AE181" s="45"/>
      <c r="AF181" s="45"/>
      <c r="AG181" s="45"/>
    </row>
    <row r="182" spans="1:33" s="49" customFormat="1" ht="10.5" customHeight="1" x14ac:dyDescent="0.25">
      <c r="A182" s="48"/>
      <c r="B182" s="48"/>
      <c r="C182" s="72">
        <f>SUM(C176:C181)</f>
        <v>570</v>
      </c>
      <c r="D182" s="45"/>
      <c r="E182" s="45"/>
      <c r="F182" s="45"/>
      <c r="G182" s="45"/>
      <c r="H182" s="45"/>
      <c r="I182" s="48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8"/>
      <c r="X182" s="45"/>
      <c r="Y182" s="45"/>
      <c r="Z182" s="45"/>
      <c r="AA182" s="45"/>
      <c r="AB182" s="45"/>
      <c r="AC182" s="45"/>
      <c r="AD182" s="45"/>
      <c r="AE182" s="45"/>
      <c r="AF182" s="45"/>
      <c r="AG182" s="45"/>
    </row>
    <row r="183" spans="1:33" s="49" customFormat="1" ht="10.5" customHeight="1" x14ac:dyDescent="0.25">
      <c r="A183" s="48"/>
      <c r="B183" s="48"/>
      <c r="C183" s="48"/>
      <c r="D183" s="45"/>
      <c r="E183" s="45"/>
      <c r="F183" s="45"/>
      <c r="G183" s="45"/>
      <c r="H183" s="45"/>
      <c r="I183" s="48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8"/>
      <c r="X183" s="45"/>
      <c r="Y183" s="45"/>
      <c r="Z183" s="45"/>
      <c r="AA183" s="45"/>
      <c r="AB183" s="45"/>
      <c r="AC183" s="45"/>
      <c r="AD183" s="45"/>
      <c r="AE183" s="45"/>
      <c r="AF183" s="45"/>
      <c r="AG183" s="45"/>
    </row>
    <row r="184" spans="1:33" s="105" customFormat="1" ht="10.5" customHeight="1" x14ac:dyDescent="0.25">
      <c r="A184" s="6">
        <v>41</v>
      </c>
      <c r="B184" s="6" t="s">
        <v>137</v>
      </c>
      <c r="C184" s="6">
        <v>40</v>
      </c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>
        <f>53*0.4</f>
        <v>21.200000000000003</v>
      </c>
      <c r="O184" s="6">
        <f>43*0.4</f>
        <v>17.2</v>
      </c>
      <c r="P184" s="6"/>
      <c r="Q184" s="6"/>
      <c r="R184" s="6"/>
      <c r="S184" s="6"/>
      <c r="T184" s="6"/>
      <c r="U184" s="6"/>
      <c r="V184" s="6"/>
      <c r="W184" s="6"/>
      <c r="X184" s="6"/>
      <c r="Y184" s="6">
        <v>2</v>
      </c>
      <c r="Z184" s="6"/>
      <c r="AA184" s="6"/>
      <c r="AB184" s="6"/>
      <c r="AC184" s="6"/>
      <c r="AD184" s="6">
        <v>1</v>
      </c>
      <c r="AE184" s="6"/>
      <c r="AF184" s="6"/>
      <c r="AG184" s="6"/>
    </row>
    <row r="185" spans="1:33" s="47" customFormat="1" ht="10.5" customHeight="1" x14ac:dyDescent="0.25">
      <c r="A185" s="46">
        <v>236</v>
      </c>
      <c r="B185" s="46" t="s">
        <v>186</v>
      </c>
      <c r="C185" s="46">
        <v>130</v>
      </c>
      <c r="D185" s="46"/>
      <c r="E185" s="46">
        <v>75</v>
      </c>
      <c r="F185" s="46">
        <v>4</v>
      </c>
      <c r="G185" s="46"/>
      <c r="H185" s="46"/>
      <c r="I185" s="48"/>
      <c r="J185" s="46"/>
      <c r="K185" s="46"/>
      <c r="L185" s="46">
        <v>6</v>
      </c>
      <c r="M185" s="46"/>
      <c r="N185" s="46"/>
      <c r="O185" s="46"/>
      <c r="P185" s="46">
        <v>5</v>
      </c>
      <c r="Q185" s="46"/>
      <c r="R185" s="46"/>
      <c r="S185" s="46"/>
      <c r="T185" s="46">
        <v>4</v>
      </c>
      <c r="U185" s="46">
        <v>14</v>
      </c>
      <c r="V185" s="46"/>
      <c r="W185" s="48"/>
      <c r="X185" s="46">
        <v>4</v>
      </c>
      <c r="Y185" s="46"/>
      <c r="Z185" s="46"/>
      <c r="AA185" s="46"/>
      <c r="AB185" s="46"/>
      <c r="AC185" s="46"/>
      <c r="AD185" s="46">
        <v>8</v>
      </c>
      <c r="AE185" s="46"/>
      <c r="AF185" s="46"/>
      <c r="AG185" s="46"/>
    </row>
    <row r="186" spans="1:33" s="47" customFormat="1" ht="10.5" customHeight="1" x14ac:dyDescent="0.25">
      <c r="A186" s="46">
        <v>362</v>
      </c>
      <c r="B186" s="46" t="s">
        <v>158</v>
      </c>
      <c r="C186" s="46">
        <v>15</v>
      </c>
      <c r="D186" s="46"/>
      <c r="E186" s="46"/>
      <c r="F186" s="46"/>
      <c r="G186" s="46"/>
      <c r="H186" s="46"/>
      <c r="I186" s="48"/>
      <c r="J186" s="46"/>
      <c r="K186" s="46"/>
      <c r="L186" s="46"/>
      <c r="M186" s="46"/>
      <c r="N186" s="46"/>
      <c r="O186" s="46">
        <v>3.84</v>
      </c>
      <c r="P186" s="46"/>
      <c r="Q186" s="46"/>
      <c r="R186" s="46"/>
      <c r="S186" s="46"/>
      <c r="T186" s="46"/>
      <c r="U186" s="46"/>
      <c r="V186" s="46"/>
      <c r="W186" s="48"/>
      <c r="X186" s="46"/>
      <c r="Y186" s="46"/>
      <c r="Z186" s="46"/>
      <c r="AA186" s="46"/>
      <c r="AB186" s="46"/>
      <c r="AC186" s="46"/>
      <c r="AD186" s="46">
        <v>1.87</v>
      </c>
      <c r="AE186" s="46"/>
      <c r="AF186" s="46">
        <v>0.45</v>
      </c>
      <c r="AG186" s="46"/>
    </row>
    <row r="187" spans="1:33" s="47" customFormat="1" ht="10.5" customHeight="1" x14ac:dyDescent="0.25">
      <c r="A187" s="48">
        <v>400</v>
      </c>
      <c r="B187" s="48" t="s">
        <v>168</v>
      </c>
      <c r="C187" s="48">
        <v>180</v>
      </c>
      <c r="D187" s="46">
        <v>180</v>
      </c>
      <c r="E187" s="46"/>
      <c r="F187" s="46"/>
      <c r="G187" s="46"/>
      <c r="H187" s="46"/>
      <c r="I187" s="48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8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</row>
    <row r="188" spans="1:33" s="49" customFormat="1" ht="10.5" customHeight="1" x14ac:dyDescent="0.25">
      <c r="A188" s="48"/>
      <c r="B188" s="48" t="s">
        <v>33</v>
      </c>
      <c r="C188" s="48">
        <v>20</v>
      </c>
      <c r="D188" s="45"/>
      <c r="E188" s="45"/>
      <c r="F188" s="45"/>
      <c r="G188" s="45"/>
      <c r="H188" s="45"/>
      <c r="I188" s="48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>
        <v>20</v>
      </c>
      <c r="U188" s="45"/>
      <c r="V188" s="45"/>
      <c r="W188" s="48"/>
      <c r="X188" s="45"/>
      <c r="Y188" s="45"/>
      <c r="Z188" s="45"/>
      <c r="AA188" s="45"/>
      <c r="AB188" s="45"/>
      <c r="AC188" s="45"/>
      <c r="AD188" s="45"/>
      <c r="AE188" s="45"/>
      <c r="AF188" s="45"/>
      <c r="AG188" s="45"/>
    </row>
    <row r="190" spans="1:33" ht="10.5" customHeight="1" x14ac:dyDescent="0.25">
      <c r="C190" s="54">
        <f>SUM(C184:C189)</f>
        <v>385</v>
      </c>
    </row>
    <row r="191" spans="1:33" s="25" customFormat="1" ht="10.5" customHeight="1" x14ac:dyDescent="0.25">
      <c r="A191" s="9"/>
      <c r="B191" s="17" t="s">
        <v>79</v>
      </c>
      <c r="C191" s="24"/>
      <c r="D191" s="24">
        <f t="shared" ref="D191:AG191" si="6">SUM(D167:D190)</f>
        <v>408.2</v>
      </c>
      <c r="E191" s="24">
        <f t="shared" si="6"/>
        <v>75</v>
      </c>
      <c r="F191" s="24">
        <f t="shared" si="6"/>
        <v>4</v>
      </c>
      <c r="G191" s="24">
        <f t="shared" si="6"/>
        <v>5</v>
      </c>
      <c r="H191" s="24">
        <f t="shared" si="6"/>
        <v>39.799999999999997</v>
      </c>
      <c r="I191" s="12">
        <f t="shared" si="6"/>
        <v>0</v>
      </c>
      <c r="J191" s="24">
        <f t="shared" si="6"/>
        <v>23.5</v>
      </c>
      <c r="K191" s="24">
        <f t="shared" si="6"/>
        <v>0</v>
      </c>
      <c r="L191" s="24">
        <f t="shared" si="6"/>
        <v>17.3</v>
      </c>
      <c r="M191" s="24">
        <f t="shared" si="6"/>
        <v>72</v>
      </c>
      <c r="N191" s="24">
        <f t="shared" si="6"/>
        <v>191.89999999999998</v>
      </c>
      <c r="O191" s="24">
        <f t="shared" si="6"/>
        <v>116.04</v>
      </c>
      <c r="P191" s="24">
        <f t="shared" si="6"/>
        <v>20</v>
      </c>
      <c r="Q191" s="24">
        <f t="shared" si="6"/>
        <v>150</v>
      </c>
      <c r="R191" s="24">
        <f t="shared" si="6"/>
        <v>0</v>
      </c>
      <c r="S191" s="24">
        <f t="shared" si="6"/>
        <v>40</v>
      </c>
      <c r="T191" s="24">
        <f t="shared" si="6"/>
        <v>54</v>
      </c>
      <c r="U191" s="24">
        <f t="shared" si="6"/>
        <v>40.82</v>
      </c>
      <c r="V191" s="24">
        <f t="shared" si="6"/>
        <v>0</v>
      </c>
      <c r="W191" s="12">
        <f t="shared" si="6"/>
        <v>2.2000000000000002</v>
      </c>
      <c r="X191" s="24">
        <f t="shared" si="6"/>
        <v>9.6999999999999993</v>
      </c>
      <c r="Y191" s="24">
        <f t="shared" si="6"/>
        <v>5.8</v>
      </c>
      <c r="Z191" s="24">
        <f t="shared" si="6"/>
        <v>20</v>
      </c>
      <c r="AA191" s="24">
        <f t="shared" si="6"/>
        <v>0</v>
      </c>
      <c r="AB191" s="24">
        <f t="shared" si="6"/>
        <v>0</v>
      </c>
      <c r="AC191" s="24">
        <f t="shared" si="6"/>
        <v>3.3</v>
      </c>
      <c r="AD191" s="24">
        <f t="shared" si="6"/>
        <v>29.17</v>
      </c>
      <c r="AE191" s="24">
        <f t="shared" si="6"/>
        <v>0</v>
      </c>
      <c r="AF191" s="24">
        <f t="shared" si="6"/>
        <v>3.85</v>
      </c>
      <c r="AG191" s="24">
        <f t="shared" si="6"/>
        <v>1.65</v>
      </c>
    </row>
    <row r="192" spans="1:33" s="18" customFormat="1" ht="10.5" customHeight="1" x14ac:dyDescent="0.25">
      <c r="A192" s="22"/>
      <c r="B192" s="23"/>
      <c r="C192" s="22"/>
      <c r="D192" s="22"/>
      <c r="E192" s="22"/>
      <c r="F192" s="22"/>
      <c r="G192" s="22"/>
      <c r="H192" s="22"/>
      <c r="I192" s="6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48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</row>
    <row r="193" spans="1:33" s="41" customFormat="1" ht="10.5" customHeight="1" x14ac:dyDescent="0.3">
      <c r="A193" s="177" t="s">
        <v>81</v>
      </c>
      <c r="B193" s="178"/>
      <c r="C193" s="26"/>
      <c r="D193" s="26"/>
      <c r="E193" s="26"/>
      <c r="F193" s="26"/>
      <c r="G193" s="26"/>
      <c r="H193" s="26"/>
      <c r="I193" s="10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10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</row>
    <row r="194" spans="1:33" ht="10.5" customHeight="1" x14ac:dyDescent="0.25">
      <c r="A194" s="22">
        <v>7</v>
      </c>
      <c r="B194" s="22" t="s">
        <v>35</v>
      </c>
      <c r="C194" s="22">
        <v>10</v>
      </c>
      <c r="D194" s="22"/>
      <c r="E194" s="22"/>
      <c r="F194" s="22"/>
      <c r="G194" s="22">
        <v>10</v>
      </c>
    </row>
    <row r="195" spans="1:33" s="105" customFormat="1" ht="10.5" customHeight="1" x14ac:dyDescent="0.25">
      <c r="A195" s="6">
        <v>94</v>
      </c>
      <c r="B195" s="6" t="s">
        <v>134</v>
      </c>
      <c r="C195" s="22">
        <v>130</v>
      </c>
      <c r="D195" s="6">
        <v>91</v>
      </c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143">
        <v>7.8</v>
      </c>
      <c r="V195" s="6"/>
      <c r="W195" s="6"/>
      <c r="X195" s="143">
        <v>3</v>
      </c>
      <c r="Y195" s="6"/>
      <c r="Z195" s="6"/>
      <c r="AA195" s="6"/>
      <c r="AB195" s="6"/>
      <c r="AC195" s="6"/>
      <c r="AD195" s="143">
        <v>1</v>
      </c>
      <c r="AE195" s="6"/>
      <c r="AF195" s="6"/>
      <c r="AG195" s="141"/>
    </row>
    <row r="196" spans="1:33" s="105" customFormat="1" ht="10.5" customHeight="1" x14ac:dyDescent="0.25">
      <c r="A196" s="6"/>
      <c r="B196" s="6" t="s">
        <v>214</v>
      </c>
      <c r="C196" s="6">
        <v>25</v>
      </c>
      <c r="D196" s="6">
        <v>6</v>
      </c>
      <c r="E196" s="141">
        <v>14.5</v>
      </c>
      <c r="F196" s="6"/>
      <c r="G196" s="6"/>
      <c r="H196" s="6"/>
      <c r="I196" s="6"/>
      <c r="J196" s="6"/>
      <c r="K196" s="6"/>
      <c r="L196" s="6">
        <v>2</v>
      </c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>
        <v>5.5</v>
      </c>
      <c r="X196" s="6"/>
      <c r="Y196" s="6">
        <v>1</v>
      </c>
      <c r="Z196" s="6"/>
      <c r="AA196" s="6"/>
      <c r="AB196" s="6"/>
      <c r="AC196" s="6"/>
      <c r="AD196" s="6">
        <v>1.5</v>
      </c>
      <c r="AE196" s="6"/>
      <c r="AF196" s="6"/>
      <c r="AG196" s="6">
        <v>7.0000000000000007E-2</v>
      </c>
    </row>
    <row r="197" spans="1:33" s="105" customFormat="1" ht="10.5" customHeight="1" x14ac:dyDescent="0.25">
      <c r="A197" s="6">
        <v>41</v>
      </c>
      <c r="B197" s="6" t="s">
        <v>137</v>
      </c>
      <c r="C197" s="6">
        <v>40</v>
      </c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>
        <f>53*0.4</f>
        <v>21.200000000000003</v>
      </c>
      <c r="O197" s="6">
        <f>43*0.4</f>
        <v>17.2</v>
      </c>
      <c r="P197" s="6"/>
      <c r="Q197" s="6"/>
      <c r="R197" s="6"/>
      <c r="S197" s="6"/>
      <c r="T197" s="6"/>
      <c r="U197" s="6"/>
      <c r="V197" s="6"/>
      <c r="W197" s="6"/>
      <c r="X197" s="6"/>
      <c r="Y197" s="6">
        <v>2</v>
      </c>
      <c r="Z197" s="6"/>
      <c r="AA197" s="6"/>
      <c r="AB197" s="6"/>
      <c r="AC197" s="6"/>
      <c r="AD197" s="6">
        <v>1</v>
      </c>
      <c r="AE197" s="6"/>
      <c r="AF197" s="6"/>
      <c r="AG197" s="6"/>
    </row>
    <row r="198" spans="1:33" s="47" customFormat="1" ht="10.5" customHeight="1" x14ac:dyDescent="0.25">
      <c r="A198" s="48">
        <v>394</v>
      </c>
      <c r="B198" s="48" t="s">
        <v>223</v>
      </c>
      <c r="C198" s="48">
        <v>160</v>
      </c>
      <c r="D198" s="46">
        <v>97</v>
      </c>
      <c r="E198" s="46"/>
      <c r="F198" s="46"/>
      <c r="G198" s="46"/>
      <c r="H198" s="46"/>
      <c r="I198" s="48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8"/>
      <c r="X198" s="46"/>
      <c r="Y198" s="46"/>
      <c r="Z198" s="46"/>
      <c r="AA198" s="140">
        <v>0.75</v>
      </c>
      <c r="AB198" s="46"/>
      <c r="AC198" s="46"/>
      <c r="AD198" s="71">
        <v>5</v>
      </c>
      <c r="AE198" s="46"/>
      <c r="AF198" s="46"/>
      <c r="AG198" s="46"/>
    </row>
    <row r="199" spans="1:33" s="49" customFormat="1" ht="10.5" customHeight="1" x14ac:dyDescent="0.25">
      <c r="A199" s="66"/>
      <c r="B199" s="48" t="s">
        <v>33</v>
      </c>
      <c r="C199" s="48">
        <v>20</v>
      </c>
      <c r="D199" s="45"/>
      <c r="E199" s="45"/>
      <c r="F199" s="45"/>
      <c r="G199" s="45"/>
      <c r="H199" s="45"/>
      <c r="I199" s="48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>
        <v>20</v>
      </c>
      <c r="U199" s="45"/>
      <c r="V199" s="45"/>
      <c r="W199" s="48"/>
      <c r="X199" s="45"/>
      <c r="Y199" s="45"/>
      <c r="Z199" s="45"/>
      <c r="AA199" s="45"/>
      <c r="AB199" s="45"/>
      <c r="AC199" s="45"/>
      <c r="AD199" s="45"/>
      <c r="AE199" s="45"/>
      <c r="AF199" s="45"/>
      <c r="AG199" s="45"/>
    </row>
    <row r="200" spans="1:33" s="124" customFormat="1" ht="10.5" customHeight="1" x14ac:dyDescent="0.25">
      <c r="A200" s="127"/>
      <c r="B200" s="117"/>
      <c r="C200" s="117"/>
      <c r="D200" s="117"/>
      <c r="E200" s="117"/>
      <c r="F200" s="117"/>
      <c r="G200" s="117"/>
      <c r="H200" s="117"/>
      <c r="I200" s="117"/>
      <c r="J200" s="117"/>
      <c r="K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17"/>
      <c r="AA200" s="117"/>
      <c r="AB200" s="117"/>
      <c r="AC200" s="117"/>
      <c r="AD200" s="117"/>
      <c r="AE200" s="117"/>
      <c r="AF200" s="117"/>
      <c r="AG200" s="117"/>
    </row>
    <row r="202" spans="1:33" s="49" customFormat="1" ht="10.5" customHeight="1" x14ac:dyDescent="0.25">
      <c r="A202" s="76"/>
      <c r="B202" s="48"/>
      <c r="C202" s="56">
        <f>SUM(C194:C201)</f>
        <v>385</v>
      </c>
      <c r="D202" s="45"/>
      <c r="E202" s="45"/>
      <c r="F202" s="45"/>
      <c r="G202" s="45"/>
      <c r="H202" s="45"/>
      <c r="I202" s="48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8"/>
      <c r="X202" s="45"/>
      <c r="Y202" s="45"/>
      <c r="Z202" s="45"/>
      <c r="AA202" s="45"/>
      <c r="AB202" s="45"/>
      <c r="AC202" s="45"/>
      <c r="AD202" s="45"/>
      <c r="AE202" s="45"/>
      <c r="AF202" s="45"/>
      <c r="AG202" s="45"/>
    </row>
    <row r="203" spans="1:33" s="49" customFormat="1" ht="10.5" customHeight="1" x14ac:dyDescent="0.25">
      <c r="A203" s="58"/>
      <c r="B203" s="48" t="s">
        <v>169</v>
      </c>
      <c r="C203" s="48">
        <v>150</v>
      </c>
      <c r="D203" s="53"/>
      <c r="E203" s="53"/>
      <c r="F203" s="53"/>
      <c r="G203" s="53"/>
      <c r="H203" s="53"/>
      <c r="I203" s="107"/>
      <c r="J203" s="53"/>
      <c r="K203" s="53"/>
      <c r="L203" s="53"/>
      <c r="M203" s="53"/>
      <c r="N203" s="53"/>
      <c r="O203" s="53"/>
      <c r="P203" s="53"/>
      <c r="Q203" s="53">
        <v>150</v>
      </c>
      <c r="R203" s="53"/>
      <c r="S203" s="53"/>
      <c r="T203" s="53"/>
      <c r="U203" s="53"/>
      <c r="V203" s="53"/>
      <c r="W203" s="107"/>
      <c r="X203" s="53"/>
      <c r="Y203" s="53"/>
      <c r="Z203" s="53"/>
      <c r="AA203" s="53"/>
      <c r="AB203" s="53"/>
      <c r="AC203" s="53"/>
      <c r="AD203" s="53"/>
      <c r="AE203" s="53"/>
      <c r="AF203" s="53"/>
      <c r="AG203" s="53"/>
    </row>
    <row r="204" spans="1:33" ht="10.5" customHeight="1" x14ac:dyDescent="0.25">
      <c r="A204" s="6"/>
      <c r="B204" s="6" t="s">
        <v>37</v>
      </c>
      <c r="C204" s="6">
        <v>95</v>
      </c>
      <c r="O204" s="5">
        <v>95</v>
      </c>
      <c r="W204" s="6"/>
    </row>
    <row r="206" spans="1:33" s="121" customFormat="1" ht="10.5" customHeight="1" x14ac:dyDescent="0.25">
      <c r="A206" s="120"/>
      <c r="B206" s="120" t="s">
        <v>174</v>
      </c>
      <c r="C206" s="120">
        <v>40</v>
      </c>
      <c r="D206" s="120"/>
      <c r="E206" s="120"/>
      <c r="F206" s="120"/>
      <c r="G206" s="120"/>
      <c r="H206" s="120"/>
      <c r="I206" s="120"/>
      <c r="J206" s="120"/>
      <c r="K206" s="120"/>
      <c r="L206" s="120"/>
      <c r="M206" s="120"/>
      <c r="N206" s="120">
        <v>35.6</v>
      </c>
      <c r="O206" s="120"/>
      <c r="P206" s="120"/>
      <c r="Q206" s="120"/>
      <c r="R206" s="120"/>
      <c r="S206" s="120"/>
      <c r="T206" s="120"/>
      <c r="U206" s="120"/>
      <c r="V206" s="120"/>
      <c r="W206" s="51"/>
      <c r="X206" s="120"/>
      <c r="Y206" s="120">
        <v>2</v>
      </c>
      <c r="Z206" s="120"/>
      <c r="AA206" s="120"/>
      <c r="AB206" s="120"/>
      <c r="AC206" s="120"/>
      <c r="AD206" s="120">
        <v>2</v>
      </c>
      <c r="AE206" s="120"/>
      <c r="AF206" s="120"/>
      <c r="AG206" s="120"/>
    </row>
    <row r="207" spans="1:33" s="58" customFormat="1" ht="10.5" customHeight="1" x14ac:dyDescent="0.25">
      <c r="A207" s="48">
        <v>80</v>
      </c>
      <c r="B207" s="48" t="s">
        <v>97</v>
      </c>
      <c r="C207" s="48">
        <v>180</v>
      </c>
      <c r="D207" s="48"/>
      <c r="E207" s="48"/>
      <c r="F207" s="48"/>
      <c r="G207" s="48"/>
      <c r="H207" s="48"/>
      <c r="I207" s="48"/>
      <c r="J207" s="48"/>
      <c r="K207" s="48"/>
      <c r="L207" s="48"/>
      <c r="M207" s="48">
        <v>54</v>
      </c>
      <c r="N207" s="48">
        <v>14.4</v>
      </c>
      <c r="O207" s="48"/>
      <c r="P207" s="48"/>
      <c r="Q207" s="48"/>
      <c r="R207" s="48"/>
      <c r="S207" s="48"/>
      <c r="T207" s="48"/>
      <c r="U207" s="48">
        <v>3.6</v>
      </c>
      <c r="V207" s="48"/>
      <c r="W207" s="48"/>
      <c r="X207" s="48"/>
      <c r="Y207" s="48">
        <v>1.8</v>
      </c>
      <c r="Z207" s="48"/>
      <c r="AA207" s="48"/>
      <c r="AB207" s="48"/>
      <c r="AC207" s="48"/>
      <c r="AD207" s="48"/>
      <c r="AE207" s="48"/>
      <c r="AF207" s="48"/>
      <c r="AG207" s="139">
        <v>0.3</v>
      </c>
    </row>
    <row r="208" spans="1:33" s="58" customFormat="1" ht="10.5" customHeight="1" x14ac:dyDescent="0.25">
      <c r="A208" s="48">
        <v>256</v>
      </c>
      <c r="B208" s="48" t="s">
        <v>100</v>
      </c>
      <c r="C208" s="48">
        <v>60</v>
      </c>
      <c r="D208" s="48">
        <v>6</v>
      </c>
      <c r="E208" s="48"/>
      <c r="F208" s="48"/>
      <c r="G208" s="48"/>
      <c r="H208" s="48"/>
      <c r="I208" s="48"/>
      <c r="J208" s="139">
        <v>41.2</v>
      </c>
      <c r="K208" s="48"/>
      <c r="L208" s="139">
        <v>7.52</v>
      </c>
      <c r="M208" s="48"/>
      <c r="N208" s="139">
        <v>16.5</v>
      </c>
      <c r="O208" s="48"/>
      <c r="P208" s="48"/>
      <c r="Q208" s="48"/>
      <c r="R208" s="48"/>
      <c r="S208" s="48"/>
      <c r="T208" s="139">
        <v>4.5</v>
      </c>
      <c r="U208" s="48"/>
      <c r="V208" s="48"/>
      <c r="W208" s="48"/>
      <c r="X208" s="139">
        <v>2.2000000000000002</v>
      </c>
      <c r="Y208" s="48">
        <v>0</v>
      </c>
      <c r="Z208" s="48"/>
      <c r="AA208" s="48"/>
      <c r="AB208" s="48"/>
      <c r="AC208" s="48"/>
      <c r="AD208" s="48"/>
      <c r="AE208" s="48"/>
      <c r="AF208" s="48"/>
      <c r="AG208" s="139">
        <v>0.8</v>
      </c>
    </row>
    <row r="209" spans="1:33" s="58" customFormat="1" ht="10.5" customHeight="1" x14ac:dyDescent="0.25">
      <c r="A209" s="48">
        <v>205</v>
      </c>
      <c r="B209" s="117" t="s">
        <v>84</v>
      </c>
      <c r="C209" s="48">
        <v>110</v>
      </c>
      <c r="D209" s="48"/>
      <c r="E209" s="48"/>
      <c r="F209" s="48"/>
      <c r="G209" s="48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>
        <v>38.5</v>
      </c>
      <c r="W209" s="48"/>
      <c r="X209" s="48">
        <v>5</v>
      </c>
      <c r="Y209" s="48"/>
      <c r="Z209" s="48"/>
      <c r="AA209" s="48"/>
      <c r="AB209" s="48"/>
      <c r="AC209" s="48"/>
      <c r="AD209" s="48"/>
      <c r="AE209" s="48"/>
      <c r="AF209" s="48"/>
      <c r="AG209" s="48">
        <v>1.25</v>
      </c>
    </row>
    <row r="210" spans="1:33" ht="10.5" customHeight="1" x14ac:dyDescent="0.25">
      <c r="A210" s="6">
        <v>379</v>
      </c>
      <c r="B210" s="6" t="s">
        <v>164</v>
      </c>
      <c r="C210" s="6">
        <v>150</v>
      </c>
      <c r="P210" s="5">
        <v>16</v>
      </c>
      <c r="W210" s="6"/>
      <c r="AD210" s="5">
        <v>7</v>
      </c>
      <c r="AF210" s="5">
        <v>3.4</v>
      </c>
    </row>
    <row r="211" spans="1:33" s="49" customFormat="1" ht="10.5" customHeight="1" x14ac:dyDescent="0.25">
      <c r="A211" s="48"/>
      <c r="B211" s="48" t="s">
        <v>151</v>
      </c>
      <c r="C211" s="48">
        <v>40</v>
      </c>
      <c r="D211" s="45"/>
      <c r="E211" s="45"/>
      <c r="F211" s="45"/>
      <c r="G211" s="45"/>
      <c r="H211" s="45"/>
      <c r="I211" s="48"/>
      <c r="J211" s="45"/>
      <c r="K211" s="45"/>
      <c r="L211" s="45"/>
      <c r="M211" s="45"/>
      <c r="N211" s="45"/>
      <c r="O211" s="45"/>
      <c r="P211" s="45"/>
      <c r="Q211" s="45"/>
      <c r="R211" s="45"/>
      <c r="S211" s="45">
        <v>40</v>
      </c>
      <c r="T211" s="45"/>
      <c r="U211" s="45"/>
      <c r="V211" s="45"/>
      <c r="W211" s="48"/>
      <c r="X211" s="45"/>
      <c r="Y211" s="45"/>
      <c r="Z211" s="45"/>
      <c r="AA211" s="45"/>
      <c r="AB211" s="45"/>
      <c r="AC211" s="45"/>
      <c r="AD211" s="45"/>
      <c r="AE211" s="45"/>
      <c r="AF211" s="45"/>
      <c r="AG211" s="45"/>
    </row>
    <row r="212" spans="1:33" s="49" customFormat="1" ht="11.25" customHeight="1" x14ac:dyDescent="0.25">
      <c r="A212" s="45"/>
      <c r="B212" s="68"/>
      <c r="C212" s="56">
        <f>SUM(C206:C211)</f>
        <v>580</v>
      </c>
      <c r="D212" s="45"/>
      <c r="E212" s="45"/>
      <c r="F212" s="45"/>
      <c r="G212" s="45"/>
      <c r="H212" s="45"/>
      <c r="I212" s="48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8"/>
      <c r="X212" s="45"/>
      <c r="Y212" s="45"/>
      <c r="Z212" s="45"/>
      <c r="AA212" s="45"/>
      <c r="AB212" s="45"/>
      <c r="AC212" s="45"/>
      <c r="AD212" s="45"/>
      <c r="AE212" s="45"/>
      <c r="AF212" s="45"/>
      <c r="AG212" s="45"/>
    </row>
    <row r="213" spans="1:33" s="58" customFormat="1" ht="10.5" customHeight="1" x14ac:dyDescent="0.25">
      <c r="A213" s="48">
        <v>12</v>
      </c>
      <c r="B213" s="48" t="s">
        <v>215</v>
      </c>
      <c r="C213" s="48">
        <v>40</v>
      </c>
      <c r="D213" s="48"/>
      <c r="E213" s="48"/>
      <c r="F213" s="48"/>
      <c r="G213" s="48"/>
      <c r="H213" s="48"/>
      <c r="I213" s="48"/>
      <c r="J213" s="48"/>
      <c r="K213" s="48"/>
      <c r="L213" s="48"/>
      <c r="M213" s="48"/>
      <c r="N213" s="48">
        <v>37.200000000000003</v>
      </c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>
        <v>2.4</v>
      </c>
      <c r="Z213" s="48"/>
      <c r="AA213" s="48"/>
      <c r="AB213" s="48"/>
      <c r="AC213" s="48"/>
      <c r="AD213" s="48">
        <v>0.8</v>
      </c>
      <c r="AE213" s="48"/>
      <c r="AF213" s="48"/>
      <c r="AG213" s="139">
        <v>0.03</v>
      </c>
    </row>
    <row r="214" spans="1:33" s="58" customFormat="1" ht="10.5" customHeight="1" x14ac:dyDescent="0.25">
      <c r="A214" s="48">
        <v>287</v>
      </c>
      <c r="B214" s="48" t="s">
        <v>170</v>
      </c>
      <c r="C214" s="48">
        <v>60</v>
      </c>
      <c r="D214" s="48">
        <v>12</v>
      </c>
      <c r="E214" s="48"/>
      <c r="F214" s="48">
        <v>7.5</v>
      </c>
      <c r="G214" s="48"/>
      <c r="H214" s="139">
        <v>38.299999999999997</v>
      </c>
      <c r="I214" s="48"/>
      <c r="J214" s="48"/>
      <c r="K214" s="48"/>
      <c r="L214" s="48"/>
      <c r="M214" s="48"/>
      <c r="N214" s="139">
        <v>11.3</v>
      </c>
      <c r="O214" s="48"/>
      <c r="P214" s="48"/>
      <c r="Q214" s="48"/>
      <c r="R214" s="48"/>
      <c r="S214" s="48"/>
      <c r="T214" s="48"/>
      <c r="U214" s="48">
        <v>5.25</v>
      </c>
      <c r="V214" s="48"/>
      <c r="W214" s="48">
        <v>3.8</v>
      </c>
      <c r="X214" s="48">
        <v>2.25</v>
      </c>
      <c r="Y214" s="48"/>
      <c r="Z214" s="48"/>
      <c r="AA214" s="48"/>
      <c r="AB214" s="48"/>
      <c r="AC214" s="48"/>
      <c r="AD214" s="48"/>
      <c r="AE214" s="48"/>
      <c r="AF214" s="48"/>
      <c r="AG214" s="48">
        <v>0.8</v>
      </c>
    </row>
    <row r="215" spans="1:33" s="49" customFormat="1" ht="10.5" customHeight="1" x14ac:dyDescent="0.25">
      <c r="A215" s="48">
        <v>320</v>
      </c>
      <c r="B215" s="48" t="s">
        <v>135</v>
      </c>
      <c r="C215" s="48">
        <v>100</v>
      </c>
      <c r="D215" s="45"/>
      <c r="E215" s="45"/>
      <c r="F215" s="45"/>
      <c r="G215" s="45"/>
      <c r="H215" s="45"/>
      <c r="I215" s="48"/>
      <c r="J215" s="45"/>
      <c r="K215" s="45"/>
      <c r="L215" s="45"/>
      <c r="M215" s="45"/>
      <c r="N215" s="45">
        <v>105.4</v>
      </c>
      <c r="O215" s="45"/>
      <c r="P215" s="45"/>
      <c r="Q215" s="45"/>
      <c r="R215" s="45"/>
      <c r="S215" s="45"/>
      <c r="T215" s="45"/>
      <c r="U215" s="45"/>
      <c r="V215" s="45"/>
      <c r="W215" s="48"/>
      <c r="X215" s="45">
        <v>3.5</v>
      </c>
      <c r="Y215" s="45"/>
      <c r="Z215" s="45"/>
      <c r="AA215" s="45"/>
      <c r="AB215" s="45"/>
      <c r="AC215" s="45"/>
      <c r="AD215" s="45"/>
      <c r="AE215" s="45"/>
      <c r="AF215" s="45"/>
      <c r="AG215" s="139">
        <v>0.24</v>
      </c>
    </row>
    <row r="216" spans="1:33" s="49" customFormat="1" ht="10.5" customHeight="1" x14ac:dyDescent="0.25">
      <c r="A216" s="48"/>
      <c r="B216" s="48" t="s">
        <v>198</v>
      </c>
      <c r="C216" s="48">
        <v>40</v>
      </c>
      <c r="D216" s="45"/>
      <c r="E216" s="45"/>
      <c r="F216" s="45"/>
      <c r="G216" s="45"/>
      <c r="H216" s="45"/>
      <c r="I216" s="48"/>
      <c r="J216" s="45"/>
      <c r="K216" s="45"/>
      <c r="L216" s="139">
        <v>40</v>
      </c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8"/>
      <c r="X216" s="45"/>
      <c r="Y216" s="45"/>
      <c r="Z216" s="45"/>
      <c r="AA216" s="45"/>
      <c r="AB216" s="45"/>
      <c r="AC216" s="45"/>
      <c r="AD216" s="45"/>
      <c r="AE216" s="45"/>
      <c r="AF216" s="45"/>
      <c r="AG216" s="45"/>
    </row>
    <row r="217" spans="1:33" s="49" customFormat="1" ht="10.5" customHeight="1" x14ac:dyDescent="0.25">
      <c r="A217" s="48"/>
      <c r="B217" s="48" t="s">
        <v>165</v>
      </c>
      <c r="C217" s="48">
        <v>180</v>
      </c>
      <c r="D217" s="45">
        <v>180</v>
      </c>
      <c r="E217" s="45"/>
      <c r="F217" s="45"/>
      <c r="G217" s="45"/>
      <c r="H217" s="45"/>
      <c r="I217" s="48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8"/>
      <c r="X217" s="45"/>
      <c r="Y217" s="45"/>
      <c r="Z217" s="45"/>
      <c r="AA217" s="45"/>
      <c r="AB217" s="45"/>
      <c r="AC217" s="45"/>
      <c r="AD217" s="45"/>
      <c r="AE217" s="45"/>
      <c r="AF217" s="45"/>
      <c r="AG217" s="45"/>
    </row>
    <row r="218" spans="1:33" s="49" customFormat="1" ht="10.5" customHeight="1" x14ac:dyDescent="0.25">
      <c r="A218" s="48"/>
      <c r="B218" s="48" t="s">
        <v>33</v>
      </c>
      <c r="C218" s="48">
        <v>20</v>
      </c>
      <c r="D218" s="45"/>
      <c r="E218" s="45"/>
      <c r="F218" s="45"/>
      <c r="G218" s="45"/>
      <c r="H218" s="45"/>
      <c r="I218" s="48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>
        <v>20</v>
      </c>
      <c r="U218" s="45"/>
      <c r="V218" s="45"/>
      <c r="W218" s="48"/>
      <c r="X218" s="45"/>
      <c r="Y218" s="45"/>
      <c r="Z218" s="45"/>
      <c r="AA218" s="45"/>
      <c r="AB218" s="45"/>
      <c r="AC218" s="45"/>
      <c r="AD218" s="45"/>
      <c r="AE218" s="45"/>
      <c r="AF218" s="45"/>
      <c r="AG218" s="45"/>
    </row>
    <row r="219" spans="1:33" s="49" customFormat="1" ht="10.5" customHeight="1" x14ac:dyDescent="0.25">
      <c r="A219" s="48" t="s">
        <v>89</v>
      </c>
      <c r="B219" s="48" t="s">
        <v>117</v>
      </c>
      <c r="C219" s="48">
        <v>25</v>
      </c>
      <c r="D219" s="46"/>
      <c r="E219" s="46"/>
      <c r="F219" s="46"/>
      <c r="G219" s="46"/>
      <c r="H219" s="46"/>
      <c r="I219" s="48"/>
      <c r="J219" s="46"/>
      <c r="K219" s="46"/>
      <c r="L219" s="46">
        <v>0.5</v>
      </c>
      <c r="M219" s="46"/>
      <c r="N219" s="46"/>
      <c r="O219" s="46"/>
      <c r="P219" s="46">
        <v>5</v>
      </c>
      <c r="Q219" s="46"/>
      <c r="R219" s="46"/>
      <c r="S219" s="46"/>
      <c r="T219" s="46"/>
      <c r="U219" s="46"/>
      <c r="V219" s="46"/>
      <c r="W219" s="139">
        <v>25.86</v>
      </c>
      <c r="X219" s="46">
        <v>0.5</v>
      </c>
      <c r="Y219" s="140">
        <v>0.13</v>
      </c>
      <c r="Z219" s="46"/>
      <c r="AA219" s="46"/>
      <c r="AB219" s="46"/>
      <c r="AC219" s="46"/>
      <c r="AD219" s="46">
        <v>0.5</v>
      </c>
      <c r="AE219" s="46">
        <v>0.6</v>
      </c>
      <c r="AF219" s="46"/>
      <c r="AG219" s="46">
        <v>0.2</v>
      </c>
    </row>
    <row r="220" spans="1:33" s="18" customFormat="1" ht="10.5" customHeight="1" x14ac:dyDescent="0.25">
      <c r="A220" s="6"/>
      <c r="B220" s="6"/>
      <c r="C220" s="42">
        <f>SUM(C213:C219)</f>
        <v>465</v>
      </c>
      <c r="D220" s="5"/>
      <c r="E220" s="5"/>
      <c r="F220" s="5"/>
      <c r="G220" s="5"/>
      <c r="H220" s="5"/>
      <c r="I220" s="6"/>
      <c r="J220" s="5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48"/>
      <c r="X220" s="5"/>
      <c r="Y220" s="5"/>
      <c r="Z220" s="5"/>
      <c r="AA220" s="5"/>
      <c r="AB220" s="5"/>
      <c r="AC220" s="5"/>
      <c r="AD220" s="5"/>
      <c r="AE220" s="5"/>
      <c r="AF220" s="5"/>
      <c r="AG220" s="5"/>
    </row>
    <row r="221" spans="1:33" s="11" customFormat="1" ht="10.5" customHeight="1" x14ac:dyDescent="0.25">
      <c r="A221" s="9"/>
      <c r="B221" s="17" t="s">
        <v>79</v>
      </c>
      <c r="C221" s="9"/>
      <c r="D221" s="9">
        <f t="shared" ref="D221:AG221" si="7">SUM(D194:D220)</f>
        <v>392</v>
      </c>
      <c r="E221" s="9">
        <f t="shared" si="7"/>
        <v>14.5</v>
      </c>
      <c r="F221" s="9">
        <f t="shared" si="7"/>
        <v>7.5</v>
      </c>
      <c r="G221" s="9">
        <f t="shared" si="7"/>
        <v>10</v>
      </c>
      <c r="H221" s="9">
        <f t="shared" si="7"/>
        <v>38.299999999999997</v>
      </c>
      <c r="I221" s="14">
        <f t="shared" si="7"/>
        <v>0</v>
      </c>
      <c r="J221" s="9">
        <f t="shared" si="7"/>
        <v>41.2</v>
      </c>
      <c r="K221" s="9">
        <f t="shared" si="7"/>
        <v>0</v>
      </c>
      <c r="L221" s="9">
        <f t="shared" si="7"/>
        <v>50.019999999999996</v>
      </c>
      <c r="M221" s="9">
        <f t="shared" si="7"/>
        <v>54</v>
      </c>
      <c r="N221" s="9">
        <f t="shared" si="7"/>
        <v>241.60000000000002</v>
      </c>
      <c r="O221" s="9">
        <f t="shared" si="7"/>
        <v>112.2</v>
      </c>
      <c r="P221" s="9">
        <f t="shared" si="7"/>
        <v>21</v>
      </c>
      <c r="Q221" s="9">
        <f t="shared" si="7"/>
        <v>150</v>
      </c>
      <c r="R221" s="9">
        <f t="shared" si="7"/>
        <v>0</v>
      </c>
      <c r="S221" s="9">
        <f t="shared" si="7"/>
        <v>40</v>
      </c>
      <c r="T221" s="9">
        <f t="shared" si="7"/>
        <v>44.5</v>
      </c>
      <c r="U221" s="9">
        <f t="shared" si="7"/>
        <v>16.649999999999999</v>
      </c>
      <c r="V221" s="9">
        <f t="shared" si="7"/>
        <v>38.5</v>
      </c>
      <c r="W221" s="14">
        <f t="shared" si="7"/>
        <v>35.159999999999997</v>
      </c>
      <c r="X221" s="9">
        <f t="shared" si="7"/>
        <v>16.45</v>
      </c>
      <c r="Y221" s="9">
        <f t="shared" si="7"/>
        <v>9.33</v>
      </c>
      <c r="Z221" s="9">
        <f t="shared" si="7"/>
        <v>0</v>
      </c>
      <c r="AA221" s="9">
        <f t="shared" si="7"/>
        <v>0.75</v>
      </c>
      <c r="AB221" s="9">
        <f t="shared" si="7"/>
        <v>0</v>
      </c>
      <c r="AC221" s="9">
        <f t="shared" si="7"/>
        <v>0</v>
      </c>
      <c r="AD221" s="9">
        <f t="shared" si="7"/>
        <v>18.8</v>
      </c>
      <c r="AE221" s="9">
        <f t="shared" si="7"/>
        <v>0.6</v>
      </c>
      <c r="AF221" s="9">
        <f t="shared" si="7"/>
        <v>3.4</v>
      </c>
      <c r="AG221" s="9">
        <f t="shared" si="7"/>
        <v>3.6900000000000004</v>
      </c>
    </row>
    <row r="222" spans="1:33" s="21" customFormat="1" ht="10.5" customHeight="1" x14ac:dyDescent="0.25">
      <c r="A222" s="19"/>
      <c r="B222" s="20"/>
      <c r="C222" s="19"/>
      <c r="D222" s="19"/>
      <c r="E222" s="19"/>
      <c r="F222" s="19"/>
      <c r="G222" s="19"/>
      <c r="H222" s="19"/>
      <c r="I222" s="30"/>
      <c r="J222" s="19"/>
      <c r="K222" s="19"/>
      <c r="L222" s="19"/>
      <c r="M222" s="19"/>
      <c r="N222" s="19"/>
      <c r="O222" s="19"/>
      <c r="P222" s="19"/>
      <c r="Q222" s="19"/>
      <c r="R222" s="19"/>
      <c r="S222" s="19"/>
      <c r="T222" s="19"/>
      <c r="U222" s="19"/>
      <c r="V222" s="19"/>
      <c r="W222" s="111"/>
      <c r="X222" s="19"/>
      <c r="Y222" s="19"/>
      <c r="Z222" s="19"/>
      <c r="AA222" s="19"/>
      <c r="AB222" s="19"/>
      <c r="AC222" s="19"/>
      <c r="AD222" s="19"/>
      <c r="AE222" s="19"/>
      <c r="AF222" s="19"/>
      <c r="AG222" s="19"/>
    </row>
    <row r="223" spans="1:33" s="40" customFormat="1" ht="10.5" customHeight="1" x14ac:dyDescent="0.3">
      <c r="A223" s="177" t="s">
        <v>82</v>
      </c>
      <c r="B223" s="178"/>
      <c r="C223" s="26"/>
      <c r="D223" s="26"/>
      <c r="E223" s="26"/>
      <c r="F223" s="26"/>
      <c r="G223" s="26"/>
      <c r="H223" s="26"/>
      <c r="I223" s="106"/>
      <c r="J223" s="26"/>
      <c r="K223" s="26"/>
      <c r="L223" s="26"/>
      <c r="M223" s="26"/>
      <c r="N223" s="26"/>
      <c r="O223" s="26"/>
      <c r="P223" s="26"/>
      <c r="Q223" s="26"/>
      <c r="R223" s="26"/>
      <c r="S223" s="26"/>
      <c r="T223" s="26"/>
      <c r="U223" s="26"/>
      <c r="V223" s="26"/>
      <c r="W223" s="10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</row>
    <row r="224" spans="1:33" s="47" customFormat="1" ht="10.5" customHeight="1" x14ac:dyDescent="0.25">
      <c r="A224" s="48">
        <v>185</v>
      </c>
      <c r="B224" s="48" t="s">
        <v>86</v>
      </c>
      <c r="C224" s="139">
        <v>150</v>
      </c>
      <c r="D224" s="46">
        <v>132</v>
      </c>
      <c r="E224" s="46"/>
      <c r="F224" s="46"/>
      <c r="G224" s="46"/>
      <c r="H224" s="46"/>
      <c r="I224" s="48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140">
        <v>23.1</v>
      </c>
      <c r="V224" s="46"/>
      <c r="W224" s="48"/>
      <c r="X224" s="46"/>
      <c r="Y224" s="46"/>
      <c r="Z224" s="46"/>
      <c r="AA224" s="46"/>
      <c r="AB224" s="46"/>
      <c r="AC224" s="46"/>
      <c r="AD224" s="46">
        <v>5</v>
      </c>
      <c r="AE224" s="46"/>
      <c r="AF224" s="46"/>
      <c r="AG224" s="46">
        <v>0.2</v>
      </c>
    </row>
    <row r="225" spans="1:33" s="58" customFormat="1" ht="10.5" customHeight="1" x14ac:dyDescent="0.25">
      <c r="A225" s="58">
        <v>217</v>
      </c>
      <c r="B225" s="48" t="s">
        <v>140</v>
      </c>
      <c r="C225" s="48">
        <v>85</v>
      </c>
      <c r="D225" s="48">
        <v>17</v>
      </c>
      <c r="E225" s="48"/>
      <c r="F225" s="48"/>
      <c r="G225" s="48"/>
      <c r="H225" s="48"/>
      <c r="I225" s="48"/>
      <c r="J225" s="48"/>
      <c r="K225" s="48"/>
      <c r="L225" s="48">
        <v>44</v>
      </c>
      <c r="M225" s="48"/>
      <c r="N225" s="48">
        <v>25</v>
      </c>
      <c r="O225" s="48"/>
      <c r="P225" s="48"/>
      <c r="Q225" s="48"/>
      <c r="R225" s="48"/>
      <c r="S225" s="48"/>
      <c r="T225" s="48"/>
      <c r="U225" s="48"/>
      <c r="V225" s="48"/>
      <c r="W225" s="48"/>
      <c r="X225" s="48">
        <v>5</v>
      </c>
      <c r="Y225" s="48">
        <v>2</v>
      </c>
      <c r="Z225" s="48"/>
      <c r="AA225" s="48"/>
      <c r="AB225" s="48"/>
      <c r="AC225" s="48"/>
      <c r="AD225" s="48"/>
      <c r="AE225" s="48"/>
      <c r="AF225" s="48"/>
      <c r="AG225" s="48">
        <v>0.3</v>
      </c>
    </row>
    <row r="226" spans="1:33" s="58" customFormat="1" ht="10.5" customHeight="1" x14ac:dyDescent="0.25">
      <c r="A226" s="58">
        <v>178</v>
      </c>
      <c r="B226" s="48" t="s">
        <v>216</v>
      </c>
      <c r="C226" s="48">
        <v>50</v>
      </c>
      <c r="D226" s="48"/>
      <c r="E226" s="48"/>
      <c r="F226" s="48"/>
      <c r="G226" s="48"/>
      <c r="H226" s="48"/>
      <c r="I226" s="48"/>
      <c r="J226" s="48"/>
      <c r="K226" s="48">
        <v>46</v>
      </c>
      <c r="L226" s="48">
        <v>10</v>
      </c>
      <c r="M226" s="48"/>
      <c r="N226" s="48">
        <v>6</v>
      </c>
      <c r="O226" s="48"/>
      <c r="P226" s="48"/>
      <c r="Q226" s="48"/>
      <c r="R226" s="48"/>
      <c r="S226" s="48"/>
      <c r="T226" s="48"/>
      <c r="U226" s="48"/>
      <c r="V226" s="48"/>
      <c r="W226" s="48">
        <v>10</v>
      </c>
      <c r="X226" s="48">
        <v>6</v>
      </c>
      <c r="Y226" s="48"/>
      <c r="Z226" s="48"/>
      <c r="AA226" s="48"/>
      <c r="AB226" s="48"/>
      <c r="AC226" s="48"/>
      <c r="AD226" s="48"/>
      <c r="AE226" s="48"/>
      <c r="AF226" s="48"/>
      <c r="AG226" s="48">
        <v>1</v>
      </c>
    </row>
    <row r="227" spans="1:33" s="47" customFormat="1" ht="10.5" customHeight="1" x14ac:dyDescent="0.25">
      <c r="A227" s="48">
        <v>392</v>
      </c>
      <c r="B227" s="48" t="s">
        <v>171</v>
      </c>
      <c r="C227" s="48">
        <v>150</v>
      </c>
      <c r="D227" s="46"/>
      <c r="E227" s="46"/>
      <c r="F227" s="46"/>
      <c r="G227" s="46"/>
      <c r="H227" s="46"/>
      <c r="I227" s="48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8"/>
      <c r="X227" s="46"/>
      <c r="Y227" s="46"/>
      <c r="Z227" s="46"/>
      <c r="AA227" s="140">
        <v>0.7</v>
      </c>
      <c r="AB227" s="46"/>
      <c r="AC227" s="46"/>
      <c r="AD227" s="46">
        <v>5</v>
      </c>
      <c r="AE227" s="46"/>
      <c r="AF227" s="46"/>
      <c r="AG227" s="46"/>
    </row>
    <row r="228" spans="1:33" s="47" customFormat="1" ht="10.5" customHeight="1" x14ac:dyDescent="0.25">
      <c r="A228" s="48"/>
      <c r="B228" s="48" t="s">
        <v>151</v>
      </c>
      <c r="C228" s="48">
        <v>20</v>
      </c>
      <c r="D228" s="46"/>
      <c r="E228" s="46"/>
      <c r="F228" s="46"/>
      <c r="G228" s="46"/>
      <c r="H228" s="46"/>
      <c r="I228" s="48"/>
      <c r="J228" s="46"/>
      <c r="K228" s="46"/>
      <c r="L228" s="46"/>
      <c r="M228" s="46"/>
      <c r="N228" s="46"/>
      <c r="O228" s="46"/>
      <c r="P228" s="46"/>
      <c r="Q228" s="46"/>
      <c r="R228" s="46"/>
      <c r="S228" s="46">
        <v>20</v>
      </c>
      <c r="T228" s="46"/>
      <c r="U228" s="46"/>
      <c r="V228" s="46"/>
      <c r="W228" s="48"/>
      <c r="X228" s="46"/>
      <c r="Y228" s="46"/>
      <c r="Z228" s="46"/>
      <c r="AA228" s="46"/>
      <c r="AB228" s="46"/>
      <c r="AC228" s="46"/>
      <c r="AD228" s="46"/>
      <c r="AE228" s="46"/>
      <c r="AF228" s="46"/>
      <c r="AG228" s="46"/>
    </row>
    <row r="229" spans="1:33" s="49" customFormat="1" ht="10.5" customHeight="1" x14ac:dyDescent="0.25">
      <c r="A229" s="48"/>
      <c r="B229" s="48"/>
      <c r="C229" s="48"/>
      <c r="D229" s="45"/>
      <c r="E229" s="45"/>
      <c r="F229" s="45"/>
      <c r="G229" s="45"/>
      <c r="H229" s="45"/>
      <c r="I229" s="48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8"/>
      <c r="X229" s="45"/>
      <c r="Y229" s="45"/>
      <c r="Z229" s="45"/>
      <c r="AA229" s="45"/>
      <c r="AB229" s="45"/>
      <c r="AC229" s="45"/>
      <c r="AD229" s="45"/>
      <c r="AE229" s="45"/>
      <c r="AF229" s="45"/>
      <c r="AG229" s="45"/>
    </row>
    <row r="230" spans="1:33" s="47" customFormat="1" ht="10.5" customHeight="1" x14ac:dyDescent="0.25">
      <c r="A230" s="48"/>
      <c r="B230" s="48"/>
      <c r="C230" s="56">
        <f>SUM(C224:C229)</f>
        <v>455</v>
      </c>
      <c r="D230" s="46"/>
      <c r="E230" s="46"/>
      <c r="F230" s="46"/>
      <c r="G230" s="46"/>
      <c r="H230" s="46"/>
      <c r="I230" s="48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8"/>
      <c r="X230" s="46"/>
      <c r="Y230" s="46"/>
      <c r="Z230" s="46"/>
      <c r="AA230" s="46"/>
      <c r="AB230" s="46"/>
      <c r="AC230" s="46"/>
      <c r="AD230" s="46"/>
      <c r="AE230" s="46"/>
      <c r="AF230" s="46"/>
      <c r="AG230" s="46"/>
    </row>
    <row r="231" spans="1:33" s="47" customFormat="1" ht="10.5" customHeight="1" x14ac:dyDescent="0.25">
      <c r="A231" s="48">
        <v>399</v>
      </c>
      <c r="B231" s="48" t="s">
        <v>169</v>
      </c>
      <c r="C231" s="48">
        <v>150</v>
      </c>
      <c r="D231" s="46"/>
      <c r="E231" s="46"/>
      <c r="F231" s="46"/>
      <c r="G231" s="46"/>
      <c r="H231" s="46"/>
      <c r="I231" s="48"/>
      <c r="J231" s="46"/>
      <c r="K231" s="46"/>
      <c r="L231" s="46"/>
      <c r="M231" s="46"/>
      <c r="N231" s="46"/>
      <c r="O231" s="46"/>
      <c r="P231" s="46"/>
      <c r="Q231" s="46">
        <v>150</v>
      </c>
      <c r="R231" s="46"/>
      <c r="S231" s="46"/>
      <c r="T231" s="46"/>
      <c r="U231" s="46"/>
      <c r="V231" s="46"/>
      <c r="W231" s="48"/>
      <c r="X231" s="46"/>
      <c r="Y231" s="46"/>
      <c r="Z231" s="46"/>
      <c r="AA231" s="46"/>
      <c r="AB231" s="46"/>
      <c r="AC231" s="46"/>
      <c r="AD231" s="46"/>
      <c r="AE231" s="46"/>
      <c r="AF231" s="46"/>
      <c r="AG231" s="46"/>
    </row>
    <row r="232" spans="1:33" s="47" customFormat="1" ht="10.5" customHeight="1" x14ac:dyDescent="0.25">
      <c r="A232" s="48"/>
      <c r="B232" s="48" t="s">
        <v>37</v>
      </c>
      <c r="C232" s="48">
        <v>95</v>
      </c>
      <c r="D232" s="46"/>
      <c r="E232" s="46"/>
      <c r="F232" s="46"/>
      <c r="G232" s="46"/>
      <c r="H232" s="46"/>
      <c r="I232" s="48"/>
      <c r="J232" s="46"/>
      <c r="K232" s="46"/>
      <c r="L232" s="46"/>
      <c r="M232" s="46"/>
      <c r="N232" s="46"/>
      <c r="O232" s="46">
        <v>95</v>
      </c>
      <c r="P232" s="46"/>
      <c r="Q232" s="46"/>
      <c r="R232" s="46"/>
      <c r="S232" s="46"/>
      <c r="T232" s="46"/>
      <c r="U232" s="46"/>
      <c r="V232" s="46"/>
      <c r="W232" s="48"/>
      <c r="X232" s="46"/>
      <c r="Y232" s="46"/>
      <c r="Z232" s="46"/>
      <c r="AA232" s="46"/>
      <c r="AB232" s="46"/>
      <c r="AC232" s="46"/>
      <c r="AD232" s="46"/>
      <c r="AE232" s="46"/>
      <c r="AF232" s="46"/>
      <c r="AG232" s="46"/>
    </row>
    <row r="233" spans="1:33" s="49" customFormat="1" ht="10.5" customHeight="1" x14ac:dyDescent="0.25">
      <c r="A233" s="48"/>
      <c r="B233" s="48"/>
      <c r="C233" s="48"/>
      <c r="D233" s="45"/>
      <c r="E233" s="45"/>
      <c r="F233" s="45"/>
      <c r="G233" s="45"/>
      <c r="H233" s="45"/>
      <c r="I233" s="48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8"/>
      <c r="X233" s="45"/>
      <c r="Y233" s="45"/>
      <c r="Z233" s="45"/>
      <c r="AA233" s="45"/>
      <c r="AB233" s="45"/>
      <c r="AC233" s="45"/>
      <c r="AD233" s="45"/>
      <c r="AE233" s="45"/>
      <c r="AF233" s="45"/>
      <c r="AG233" s="45"/>
    </row>
    <row r="234" spans="1:33" ht="10.5" customHeight="1" x14ac:dyDescent="0.25">
      <c r="A234" s="6">
        <v>59</v>
      </c>
      <c r="B234" s="6" t="s">
        <v>129</v>
      </c>
      <c r="C234" s="6">
        <v>180</v>
      </c>
      <c r="M234" s="5">
        <f>12.5*1.8</f>
        <v>22.5</v>
      </c>
      <c r="N234" s="142">
        <v>84.24</v>
      </c>
      <c r="W234" s="6"/>
      <c r="Y234" s="5">
        <f>2*1.8</f>
        <v>3.6</v>
      </c>
      <c r="AG234" s="5">
        <v>1</v>
      </c>
    </row>
    <row r="235" spans="1:33" s="58" customFormat="1" ht="10.5" customHeight="1" x14ac:dyDescent="0.25">
      <c r="A235" s="48">
        <v>306</v>
      </c>
      <c r="B235" s="48" t="s">
        <v>99</v>
      </c>
      <c r="C235" s="48">
        <v>60</v>
      </c>
      <c r="D235" s="48">
        <v>16</v>
      </c>
      <c r="E235" s="48"/>
      <c r="F235" s="48"/>
      <c r="G235" s="48"/>
      <c r="H235" s="48"/>
      <c r="I235" s="48">
        <v>44</v>
      </c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>
        <v>11</v>
      </c>
      <c r="U235" s="48"/>
      <c r="V235" s="48"/>
      <c r="W235" s="48"/>
      <c r="X235" s="48">
        <v>2</v>
      </c>
      <c r="Y235" s="48"/>
      <c r="Z235" s="48"/>
      <c r="AA235" s="48"/>
      <c r="AB235" s="48"/>
      <c r="AC235" s="48"/>
      <c r="AD235" s="48"/>
      <c r="AE235" s="48"/>
      <c r="AF235" s="48"/>
      <c r="AG235" s="48">
        <v>0.15</v>
      </c>
    </row>
    <row r="236" spans="1:33" s="58" customFormat="1" ht="10.5" customHeight="1" x14ac:dyDescent="0.25">
      <c r="A236" s="48">
        <v>321</v>
      </c>
      <c r="B236" s="48" t="s">
        <v>162</v>
      </c>
      <c r="C236" s="139">
        <v>100</v>
      </c>
      <c r="D236" s="139">
        <v>15</v>
      </c>
      <c r="E236" s="48"/>
      <c r="F236" s="48"/>
      <c r="G236" s="48"/>
      <c r="H236" s="48"/>
      <c r="I236" s="48"/>
      <c r="J236" s="48"/>
      <c r="K236" s="48"/>
      <c r="L236" s="48"/>
      <c r="M236" s="139">
        <v>69</v>
      </c>
      <c r="N236" s="139">
        <v>20.8</v>
      </c>
      <c r="O236" s="48"/>
      <c r="P236" s="48"/>
      <c r="Q236" s="48"/>
      <c r="R236" s="48"/>
      <c r="S236" s="48"/>
      <c r="T236" s="48"/>
      <c r="U236" s="48"/>
      <c r="V236" s="48"/>
      <c r="W236" s="48"/>
      <c r="X236" s="139">
        <v>3.5</v>
      </c>
      <c r="Y236" s="48"/>
      <c r="Z236" s="48"/>
      <c r="AA236" s="48"/>
      <c r="AB236" s="48"/>
      <c r="AC236" s="48"/>
      <c r="AD236" s="48"/>
      <c r="AE236" s="48"/>
      <c r="AF236" s="48"/>
      <c r="AG236" s="139">
        <v>0.5</v>
      </c>
    </row>
    <row r="237" spans="1:33" ht="10.5" customHeight="1" x14ac:dyDescent="0.25">
      <c r="A237" s="6">
        <v>15</v>
      </c>
      <c r="B237" s="6" t="s">
        <v>172</v>
      </c>
      <c r="C237" s="6">
        <v>150</v>
      </c>
      <c r="O237" s="5">
        <v>30</v>
      </c>
      <c r="W237" s="6"/>
      <c r="AD237" s="5">
        <v>7</v>
      </c>
    </row>
    <row r="238" spans="1:33" s="47" customFormat="1" ht="10.5" customHeight="1" x14ac:dyDescent="0.25">
      <c r="A238" s="45"/>
      <c r="B238" s="48" t="s">
        <v>151</v>
      </c>
      <c r="C238" s="48">
        <v>20</v>
      </c>
      <c r="D238" s="46"/>
      <c r="E238" s="46"/>
      <c r="F238" s="46"/>
      <c r="G238" s="46"/>
      <c r="H238" s="46"/>
      <c r="I238" s="48"/>
      <c r="J238" s="46"/>
      <c r="K238" s="46"/>
      <c r="L238" s="46"/>
      <c r="M238" s="46"/>
      <c r="N238" s="46"/>
      <c r="O238" s="46"/>
      <c r="P238" s="46"/>
      <c r="Q238" s="46"/>
      <c r="R238" s="46"/>
      <c r="S238" s="46">
        <v>20</v>
      </c>
      <c r="T238" s="46"/>
      <c r="U238" s="46"/>
      <c r="V238" s="46"/>
      <c r="W238" s="48"/>
      <c r="X238" s="46"/>
      <c r="Y238" s="46"/>
      <c r="Z238" s="46"/>
      <c r="AA238" s="46"/>
      <c r="AB238" s="46"/>
      <c r="AC238" s="46"/>
      <c r="AD238" s="46"/>
      <c r="AE238" s="46"/>
      <c r="AF238" s="46"/>
      <c r="AG238" s="46"/>
    </row>
    <row r="239" spans="1:33" s="47" customFormat="1" ht="10.5" customHeight="1" x14ac:dyDescent="0.25">
      <c r="A239" s="45"/>
      <c r="B239" s="48" t="s">
        <v>33</v>
      </c>
      <c r="C239" s="48">
        <v>20</v>
      </c>
      <c r="D239" s="46"/>
      <c r="E239" s="46"/>
      <c r="F239" s="46"/>
      <c r="G239" s="46"/>
      <c r="H239" s="46"/>
      <c r="I239" s="48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>
        <v>20</v>
      </c>
      <c r="U239" s="46"/>
      <c r="V239" s="46"/>
      <c r="W239" s="48"/>
      <c r="X239" s="46"/>
      <c r="Y239" s="46"/>
      <c r="Z239" s="46"/>
      <c r="AA239" s="46"/>
      <c r="AB239" s="46"/>
      <c r="AC239" s="46"/>
      <c r="AD239" s="46"/>
      <c r="AE239" s="46"/>
      <c r="AF239" s="46"/>
      <c r="AG239" s="46"/>
    </row>
    <row r="240" spans="1:33" s="47" customFormat="1" ht="10.5" customHeight="1" x14ac:dyDescent="0.25">
      <c r="A240" s="46"/>
      <c r="B240" s="46"/>
      <c r="C240" s="59">
        <f>SUM(C234:C239)</f>
        <v>530</v>
      </c>
      <c r="D240" s="46"/>
      <c r="E240" s="46"/>
      <c r="F240" s="46"/>
      <c r="G240" s="46"/>
      <c r="H240" s="46"/>
      <c r="I240" s="48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8"/>
      <c r="X240" s="46"/>
      <c r="Y240" s="46"/>
      <c r="Z240" s="46"/>
      <c r="AA240" s="46"/>
      <c r="AB240" s="46"/>
      <c r="AC240" s="46"/>
      <c r="AD240" s="46"/>
      <c r="AE240" s="46"/>
      <c r="AF240" s="46"/>
      <c r="AG240" s="46"/>
    </row>
    <row r="241" spans="1:33" s="58" customFormat="1" ht="10.5" customHeight="1" x14ac:dyDescent="0.25">
      <c r="A241" s="48" t="s">
        <v>44</v>
      </c>
      <c r="B241" s="48" t="s">
        <v>218</v>
      </c>
      <c r="C241" s="48">
        <v>30</v>
      </c>
      <c r="D241" s="48"/>
      <c r="E241" s="48"/>
      <c r="F241" s="48"/>
      <c r="G241" s="48"/>
      <c r="H241" s="48"/>
      <c r="I241" s="48"/>
      <c r="J241" s="48"/>
      <c r="K241" s="48"/>
      <c r="L241" s="48"/>
      <c r="M241" s="48"/>
      <c r="N241" s="48">
        <v>30</v>
      </c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</row>
    <row r="242" spans="1:33" s="49" customFormat="1" ht="10.5" customHeight="1" x14ac:dyDescent="0.25">
      <c r="A242" s="48">
        <v>309</v>
      </c>
      <c r="B242" s="77" t="s">
        <v>148</v>
      </c>
      <c r="C242" s="48">
        <v>60</v>
      </c>
      <c r="D242" s="45">
        <v>18</v>
      </c>
      <c r="E242" s="45"/>
      <c r="F242" s="45"/>
      <c r="G242" s="45"/>
      <c r="H242" s="45"/>
      <c r="I242" s="45">
        <v>32</v>
      </c>
      <c r="J242" s="45"/>
      <c r="K242" s="45"/>
      <c r="L242" s="45">
        <v>7</v>
      </c>
      <c r="M242" s="45"/>
      <c r="N242" s="139">
        <v>15.7</v>
      </c>
      <c r="O242" s="45"/>
      <c r="P242" s="45"/>
      <c r="Q242" s="45"/>
      <c r="R242" s="45"/>
      <c r="S242" s="45"/>
      <c r="T242" s="45">
        <v>6</v>
      </c>
      <c r="U242" s="45"/>
      <c r="V242" s="45"/>
      <c r="W242" s="45"/>
      <c r="X242" s="45">
        <v>2</v>
      </c>
      <c r="Y242" s="45"/>
      <c r="Z242" s="45"/>
      <c r="AA242" s="45"/>
      <c r="AB242" s="45"/>
      <c r="AC242" s="45"/>
      <c r="AD242" s="45"/>
      <c r="AE242" s="45"/>
      <c r="AF242" s="45"/>
      <c r="AG242" s="139">
        <v>0.2</v>
      </c>
    </row>
    <row r="243" spans="1:33" s="18" customFormat="1" ht="10.5" customHeight="1" x14ac:dyDescent="0.25">
      <c r="A243" s="6">
        <v>320</v>
      </c>
      <c r="B243" s="6" t="s">
        <v>118</v>
      </c>
      <c r="C243" s="6">
        <v>100</v>
      </c>
      <c r="D243" s="22"/>
      <c r="E243" s="22"/>
      <c r="F243" s="22"/>
      <c r="G243" s="22"/>
      <c r="H243" s="22"/>
      <c r="I243" s="6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>
        <v>25.8</v>
      </c>
      <c r="V243" s="22"/>
      <c r="W243" s="6"/>
      <c r="X243" s="22">
        <v>4.2</v>
      </c>
      <c r="Y243" s="22"/>
      <c r="Z243" s="22"/>
      <c r="AA243" s="22"/>
      <c r="AB243" s="22"/>
      <c r="AC243" s="22"/>
      <c r="AD243" s="22"/>
      <c r="AE243" s="22"/>
      <c r="AF243" s="22"/>
      <c r="AG243" s="141">
        <v>0.3</v>
      </c>
    </row>
    <row r="244" spans="1:33" s="49" customFormat="1" ht="10.5" customHeight="1" x14ac:dyDescent="0.25">
      <c r="A244" s="48"/>
      <c r="B244" s="48" t="s">
        <v>168</v>
      </c>
      <c r="C244" s="48">
        <v>180</v>
      </c>
      <c r="D244" s="45">
        <v>180</v>
      </c>
      <c r="E244" s="45"/>
      <c r="F244" s="45"/>
      <c r="G244" s="45"/>
      <c r="H244" s="45"/>
      <c r="I244" s="48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8"/>
      <c r="X244" s="45"/>
      <c r="Y244" s="45"/>
      <c r="Z244" s="45"/>
      <c r="AA244" s="45"/>
      <c r="AB244" s="45"/>
      <c r="AC244" s="45"/>
      <c r="AD244" s="45"/>
      <c r="AE244" s="45"/>
      <c r="AF244" s="45"/>
      <c r="AG244" s="45"/>
    </row>
    <row r="245" spans="1:33" s="47" customFormat="1" ht="10.5" customHeight="1" x14ac:dyDescent="0.25">
      <c r="A245" s="45">
        <v>458</v>
      </c>
      <c r="B245" s="45" t="s">
        <v>121</v>
      </c>
      <c r="C245" s="45">
        <v>35</v>
      </c>
      <c r="D245" s="46"/>
      <c r="E245" s="46"/>
      <c r="F245" s="46"/>
      <c r="G245" s="46"/>
      <c r="H245" s="46"/>
      <c r="I245" s="48"/>
      <c r="J245" s="46"/>
      <c r="K245" s="46"/>
      <c r="L245" s="140">
        <v>0.76</v>
      </c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139">
        <v>19.399999999999999</v>
      </c>
      <c r="X245" s="46"/>
      <c r="Y245" s="140">
        <v>0.44</v>
      </c>
      <c r="Z245" s="46">
        <v>15</v>
      </c>
      <c r="AA245" s="46"/>
      <c r="AB245" s="46"/>
      <c r="AC245" s="46"/>
      <c r="AD245" s="46">
        <v>1.33</v>
      </c>
      <c r="AE245" s="46">
        <v>0.5</v>
      </c>
      <c r="AF245" s="46"/>
      <c r="AG245" s="46">
        <v>0.4</v>
      </c>
    </row>
    <row r="246" spans="1:33" s="49" customFormat="1" ht="10.5" customHeight="1" x14ac:dyDescent="0.25">
      <c r="A246" s="48"/>
      <c r="B246" s="48" t="s">
        <v>33</v>
      </c>
      <c r="C246" s="48">
        <v>20</v>
      </c>
      <c r="D246" s="45"/>
      <c r="E246" s="45"/>
      <c r="F246" s="45"/>
      <c r="G246" s="45"/>
      <c r="H246" s="45"/>
      <c r="I246" s="48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>
        <v>20</v>
      </c>
      <c r="U246" s="45"/>
      <c r="V246" s="45"/>
      <c r="W246" s="48"/>
      <c r="X246" s="45"/>
      <c r="Y246" s="45"/>
      <c r="Z246" s="45"/>
      <c r="AA246" s="45"/>
      <c r="AB246" s="45"/>
      <c r="AC246" s="45"/>
      <c r="AD246" s="45"/>
      <c r="AE246" s="45"/>
      <c r="AF246" s="45"/>
      <c r="AG246" s="45"/>
    </row>
    <row r="248" spans="1:33" s="18" customFormat="1" ht="10.5" customHeight="1" x14ac:dyDescent="0.25">
      <c r="A248" s="6"/>
      <c r="B248" s="6"/>
      <c r="C248" s="42">
        <f>SUM(C241:C246)</f>
        <v>425</v>
      </c>
      <c r="D248" s="22"/>
      <c r="E248" s="22"/>
      <c r="F248" s="22"/>
      <c r="G248" s="22"/>
      <c r="H248" s="22"/>
      <c r="I248" s="6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48"/>
      <c r="X248" s="22"/>
      <c r="Y248" s="22"/>
      <c r="Z248" s="22"/>
      <c r="AA248" s="22"/>
      <c r="AB248" s="22"/>
      <c r="AC248" s="22"/>
      <c r="AD248" s="22"/>
      <c r="AE248" s="22"/>
      <c r="AF248" s="22"/>
      <c r="AG248" s="22"/>
    </row>
    <row r="249" spans="1:33" s="11" customFormat="1" ht="10.5" customHeight="1" x14ac:dyDescent="0.25">
      <c r="A249" s="14"/>
      <c r="B249" s="16" t="s">
        <v>79</v>
      </c>
      <c r="C249" s="14"/>
      <c r="D249" s="9">
        <f t="shared" ref="D249:AG249" si="8">SUM(D224:D248)</f>
        <v>378</v>
      </c>
      <c r="E249" s="9">
        <f t="shared" si="8"/>
        <v>0</v>
      </c>
      <c r="F249" s="9">
        <f t="shared" si="8"/>
        <v>0</v>
      </c>
      <c r="G249" s="9">
        <f t="shared" si="8"/>
        <v>0</v>
      </c>
      <c r="H249" s="9">
        <f t="shared" si="8"/>
        <v>0</v>
      </c>
      <c r="I249" s="14">
        <f t="shared" si="8"/>
        <v>76</v>
      </c>
      <c r="J249" s="9">
        <f t="shared" si="8"/>
        <v>0</v>
      </c>
      <c r="K249" s="9">
        <f t="shared" si="8"/>
        <v>46</v>
      </c>
      <c r="L249" s="9">
        <f t="shared" si="8"/>
        <v>61.76</v>
      </c>
      <c r="M249" s="9">
        <f t="shared" si="8"/>
        <v>91.5</v>
      </c>
      <c r="N249" s="9">
        <f t="shared" si="8"/>
        <v>181.73999999999998</v>
      </c>
      <c r="O249" s="9">
        <f t="shared" si="8"/>
        <v>125</v>
      </c>
      <c r="P249" s="9">
        <f t="shared" si="8"/>
        <v>0</v>
      </c>
      <c r="Q249" s="9">
        <f t="shared" si="8"/>
        <v>150</v>
      </c>
      <c r="R249" s="9">
        <f t="shared" si="8"/>
        <v>0</v>
      </c>
      <c r="S249" s="9">
        <f t="shared" si="8"/>
        <v>40</v>
      </c>
      <c r="T249" s="9">
        <f t="shared" si="8"/>
        <v>57</v>
      </c>
      <c r="U249" s="9">
        <f t="shared" si="8"/>
        <v>48.900000000000006</v>
      </c>
      <c r="V249" s="9">
        <f t="shared" si="8"/>
        <v>0</v>
      </c>
      <c r="W249" s="14">
        <f t="shared" si="8"/>
        <v>29.4</v>
      </c>
      <c r="X249" s="9">
        <f t="shared" si="8"/>
        <v>22.7</v>
      </c>
      <c r="Y249" s="9">
        <f t="shared" si="8"/>
        <v>6.04</v>
      </c>
      <c r="Z249" s="9">
        <f t="shared" si="8"/>
        <v>15</v>
      </c>
      <c r="AA249" s="9">
        <f t="shared" si="8"/>
        <v>0.7</v>
      </c>
      <c r="AB249" s="9">
        <f t="shared" si="8"/>
        <v>0</v>
      </c>
      <c r="AC249" s="9">
        <f t="shared" si="8"/>
        <v>0</v>
      </c>
      <c r="AD249" s="9">
        <f t="shared" si="8"/>
        <v>18.329999999999998</v>
      </c>
      <c r="AE249" s="9">
        <f t="shared" si="8"/>
        <v>0.5</v>
      </c>
      <c r="AF249" s="9">
        <f t="shared" si="8"/>
        <v>0</v>
      </c>
      <c r="AG249" s="9">
        <f t="shared" si="8"/>
        <v>4.05</v>
      </c>
    </row>
    <row r="250" spans="1:33" s="40" customFormat="1" ht="10.5" customHeight="1" x14ac:dyDescent="0.3">
      <c r="A250" s="177" t="s">
        <v>83</v>
      </c>
      <c r="B250" s="178"/>
      <c r="C250" s="26"/>
      <c r="D250" s="26"/>
      <c r="E250" s="26"/>
      <c r="F250" s="26"/>
      <c r="G250" s="26"/>
      <c r="H250" s="26"/>
      <c r="I250" s="10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10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</row>
    <row r="251" spans="1:33" s="58" customFormat="1" ht="10.5" customHeight="1" x14ac:dyDescent="0.25">
      <c r="A251" s="48">
        <v>2</v>
      </c>
      <c r="B251" s="48" t="s">
        <v>173</v>
      </c>
      <c r="C251" s="48">
        <v>45</v>
      </c>
      <c r="D251" s="48"/>
      <c r="E251" s="48"/>
      <c r="F251" s="48"/>
      <c r="G251" s="48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>
        <v>30</v>
      </c>
      <c r="U251" s="48"/>
      <c r="V251" s="48"/>
      <c r="W251" s="48"/>
      <c r="X251" s="48"/>
      <c r="Y251" s="48"/>
      <c r="Z251" s="117">
        <v>15</v>
      </c>
      <c r="AA251" s="48"/>
      <c r="AB251" s="48"/>
      <c r="AC251" s="48"/>
      <c r="AD251" s="48"/>
      <c r="AE251" s="48"/>
      <c r="AF251" s="48"/>
      <c r="AG251" s="48"/>
    </row>
    <row r="252" spans="1:33" s="58" customFormat="1" ht="10.5" customHeight="1" x14ac:dyDescent="0.25">
      <c r="A252" s="48">
        <v>95</v>
      </c>
      <c r="B252" s="48" t="s">
        <v>163</v>
      </c>
      <c r="C252" s="48">
        <v>130</v>
      </c>
      <c r="D252" s="48">
        <v>91</v>
      </c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>
        <v>7.8</v>
      </c>
      <c r="V252" s="48"/>
      <c r="W252" s="48"/>
      <c r="X252" s="48">
        <v>3.6</v>
      </c>
      <c r="Y252" s="48"/>
      <c r="Z252" s="48"/>
      <c r="AA252" s="48"/>
      <c r="AB252" s="48"/>
      <c r="AC252" s="48"/>
      <c r="AD252" s="48">
        <v>5.78</v>
      </c>
      <c r="AE252" s="48"/>
      <c r="AF252" s="48"/>
      <c r="AG252" s="48">
        <v>0.36</v>
      </c>
    </row>
    <row r="253" spans="1:33" s="58" customFormat="1" ht="10.5" customHeight="1" x14ac:dyDescent="0.25">
      <c r="A253" s="48">
        <v>279</v>
      </c>
      <c r="B253" s="48" t="s">
        <v>111</v>
      </c>
      <c r="C253" s="48">
        <v>60</v>
      </c>
      <c r="D253" s="48"/>
      <c r="E253" s="48"/>
      <c r="F253" s="48"/>
      <c r="G253" s="48"/>
      <c r="H253" s="48">
        <v>66</v>
      </c>
      <c r="I253" s="48"/>
      <c r="J253" s="48"/>
      <c r="K253" s="48"/>
      <c r="L253" s="48">
        <v>7.5</v>
      </c>
      <c r="M253" s="48"/>
      <c r="N253" s="48"/>
      <c r="O253" s="48"/>
      <c r="P253" s="48"/>
      <c r="Q253" s="48"/>
      <c r="R253" s="48"/>
      <c r="S253" s="48"/>
      <c r="T253" s="48"/>
      <c r="U253" s="48">
        <v>3.7</v>
      </c>
      <c r="V253" s="48"/>
      <c r="W253" s="48"/>
      <c r="X253" s="48">
        <v>2.2000000000000002</v>
      </c>
      <c r="Y253" s="48">
        <v>2</v>
      </c>
      <c r="Z253" s="48"/>
      <c r="AA253" s="48"/>
      <c r="AB253" s="48"/>
      <c r="AC253" s="48"/>
      <c r="AD253" s="48"/>
      <c r="AE253" s="48"/>
      <c r="AF253" s="48"/>
      <c r="AG253" s="48">
        <v>0.66</v>
      </c>
    </row>
    <row r="254" spans="1:33" s="58" customFormat="1" ht="10.5" customHeight="1" x14ac:dyDescent="0.25">
      <c r="A254" s="48">
        <v>12</v>
      </c>
      <c r="B254" s="48" t="s">
        <v>215</v>
      </c>
      <c r="C254" s="48">
        <v>40</v>
      </c>
      <c r="D254" s="48"/>
      <c r="E254" s="48"/>
      <c r="F254" s="48"/>
      <c r="G254" s="48"/>
      <c r="H254" s="48"/>
      <c r="I254" s="48"/>
      <c r="J254" s="48"/>
      <c r="K254" s="48"/>
      <c r="L254" s="48"/>
      <c r="M254" s="48"/>
      <c r="N254" s="48">
        <v>37.200000000000003</v>
      </c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>
        <v>2.4</v>
      </c>
      <c r="Z254" s="48"/>
      <c r="AA254" s="48"/>
      <c r="AB254" s="48"/>
      <c r="AC254" s="48"/>
      <c r="AD254" s="48">
        <v>0.8</v>
      </c>
      <c r="AE254" s="48"/>
      <c r="AF254" s="48"/>
      <c r="AG254" s="139">
        <v>0.03</v>
      </c>
    </row>
    <row r="255" spans="1:33" s="49" customFormat="1" ht="10.5" customHeight="1" x14ac:dyDescent="0.25">
      <c r="A255" s="48">
        <v>392</v>
      </c>
      <c r="B255" s="48" t="s">
        <v>234</v>
      </c>
      <c r="C255" s="48">
        <v>150</v>
      </c>
      <c r="D255" s="46"/>
      <c r="E255" s="46"/>
      <c r="F255" s="46"/>
      <c r="G255" s="46"/>
      <c r="H255" s="46"/>
      <c r="I255" s="48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8"/>
      <c r="X255" s="46"/>
      <c r="Y255" s="46"/>
      <c r="Z255" s="46"/>
      <c r="AA255" s="140">
        <v>0.7</v>
      </c>
      <c r="AB255" s="46"/>
      <c r="AC255" s="46"/>
      <c r="AD255" s="46">
        <v>5</v>
      </c>
      <c r="AE255" s="46"/>
      <c r="AF255" s="46"/>
      <c r="AG255" s="46"/>
    </row>
    <row r="256" spans="1:33" s="49" customFormat="1" ht="10.5" customHeight="1" x14ac:dyDescent="0.25">
      <c r="A256" s="48"/>
      <c r="B256" s="48" t="s">
        <v>151</v>
      </c>
      <c r="C256" s="48">
        <v>20</v>
      </c>
      <c r="D256" s="45"/>
      <c r="E256" s="45"/>
      <c r="F256" s="45"/>
      <c r="G256" s="45"/>
      <c r="H256" s="45"/>
      <c r="I256" s="48"/>
      <c r="J256" s="45"/>
      <c r="K256" s="45"/>
      <c r="L256" s="45"/>
      <c r="M256" s="45"/>
      <c r="N256" s="45"/>
      <c r="O256" s="45"/>
      <c r="P256" s="45"/>
      <c r="Q256" s="45"/>
      <c r="R256" s="45"/>
      <c r="S256" s="45">
        <v>20</v>
      </c>
      <c r="T256" s="45"/>
      <c r="U256" s="45"/>
      <c r="V256" s="45"/>
      <c r="W256" s="48"/>
      <c r="X256" s="45"/>
      <c r="Y256" s="45"/>
      <c r="Z256" s="45"/>
      <c r="AA256" s="45"/>
      <c r="AB256" s="45"/>
      <c r="AC256" s="45"/>
      <c r="AD256" s="45"/>
      <c r="AE256" s="45"/>
      <c r="AF256" s="45"/>
      <c r="AG256" s="45"/>
    </row>
    <row r="257" spans="1:33" s="47" customFormat="1" ht="10.5" customHeight="1" x14ac:dyDescent="0.25">
      <c r="A257" s="46"/>
      <c r="B257" s="46"/>
      <c r="C257" s="59">
        <f>SUM(C251:C256)</f>
        <v>445</v>
      </c>
      <c r="D257" s="46"/>
      <c r="E257" s="46"/>
      <c r="F257" s="46"/>
      <c r="G257" s="46"/>
      <c r="H257" s="46"/>
      <c r="I257" s="48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8"/>
      <c r="X257" s="46"/>
      <c r="Y257" s="46"/>
      <c r="Z257" s="46"/>
      <c r="AA257" s="46"/>
      <c r="AB257" s="46"/>
      <c r="AC257" s="46"/>
      <c r="AD257" s="46"/>
      <c r="AE257" s="46"/>
      <c r="AF257" s="46"/>
      <c r="AG257" s="46"/>
    </row>
    <row r="258" spans="1:33" s="49" customFormat="1" ht="10.5" customHeight="1" x14ac:dyDescent="0.25">
      <c r="A258" s="48">
        <v>401</v>
      </c>
      <c r="B258" s="48" t="s">
        <v>165</v>
      </c>
      <c r="C258" s="48">
        <v>180</v>
      </c>
      <c r="D258" s="45">
        <v>180</v>
      </c>
      <c r="E258" s="45"/>
      <c r="F258" s="45"/>
      <c r="G258" s="45"/>
      <c r="H258" s="45"/>
      <c r="I258" s="48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8"/>
      <c r="X258" s="45"/>
      <c r="Y258" s="45"/>
      <c r="Z258" s="45"/>
      <c r="AA258" s="45"/>
      <c r="AB258" s="45"/>
      <c r="AC258" s="45"/>
      <c r="AD258" s="45"/>
      <c r="AE258" s="45"/>
      <c r="AF258" s="45"/>
      <c r="AG258" s="45"/>
    </row>
    <row r="259" spans="1:33" s="124" customFormat="1" ht="10.5" customHeight="1" x14ac:dyDescent="0.25">
      <c r="B259" s="125"/>
      <c r="C259" s="125"/>
      <c r="D259" s="48"/>
      <c r="E259" s="117"/>
      <c r="F259" s="117"/>
      <c r="G259" s="117"/>
      <c r="H259" s="117"/>
      <c r="I259" s="117"/>
      <c r="J259" s="117"/>
      <c r="K259" s="117"/>
      <c r="L259" s="48"/>
      <c r="M259" s="117"/>
      <c r="N259" s="117"/>
      <c r="O259" s="117"/>
      <c r="P259" s="117"/>
      <c r="Q259" s="117"/>
      <c r="R259" s="117"/>
      <c r="S259" s="117"/>
      <c r="T259" s="117"/>
      <c r="U259" s="117"/>
      <c r="V259" s="117"/>
      <c r="W259" s="117"/>
      <c r="X259" s="117"/>
      <c r="Y259" s="117"/>
      <c r="Z259" s="117"/>
      <c r="AA259" s="117"/>
      <c r="AB259" s="117"/>
      <c r="AC259" s="117"/>
      <c r="AD259" s="117"/>
      <c r="AE259" s="117"/>
      <c r="AF259" s="117"/>
      <c r="AG259" s="117"/>
    </row>
    <row r="260" spans="1:33" s="47" customFormat="1" ht="10.5" customHeight="1" x14ac:dyDescent="0.25">
      <c r="A260" s="48"/>
      <c r="B260" s="48"/>
      <c r="C260" s="48"/>
      <c r="D260" s="46"/>
      <c r="E260" s="46"/>
      <c r="F260" s="46"/>
      <c r="G260" s="46"/>
      <c r="H260" s="46"/>
      <c r="I260" s="48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8"/>
      <c r="X260" s="46"/>
      <c r="Y260" s="46"/>
      <c r="Z260" s="46"/>
      <c r="AA260" s="46"/>
      <c r="AB260" s="46"/>
      <c r="AC260" s="46"/>
      <c r="AD260" s="46"/>
      <c r="AE260" s="46"/>
      <c r="AF260" s="46"/>
      <c r="AG260" s="46"/>
    </row>
    <row r="261" spans="1:33" s="18" customFormat="1" ht="12" customHeight="1" x14ac:dyDescent="0.25">
      <c r="A261" s="6">
        <v>85</v>
      </c>
      <c r="B261" s="6" t="s">
        <v>141</v>
      </c>
      <c r="C261" s="6">
        <v>180</v>
      </c>
      <c r="D261" s="141">
        <v>4.8</v>
      </c>
      <c r="E261" s="22"/>
      <c r="F261" s="22"/>
      <c r="G261" s="22"/>
      <c r="H261" s="22"/>
      <c r="I261" s="6"/>
      <c r="J261" s="22"/>
      <c r="K261" s="22"/>
      <c r="L261" s="141">
        <v>0.08</v>
      </c>
      <c r="M261" s="22">
        <f>20*1.7</f>
        <v>34</v>
      </c>
      <c r="N261" s="22">
        <f>(6+6)*1.7</f>
        <v>20.399999999999999</v>
      </c>
      <c r="O261" s="22"/>
      <c r="P261" s="22"/>
      <c r="Q261" s="22"/>
      <c r="R261" s="22"/>
      <c r="S261" s="22"/>
      <c r="T261" s="22"/>
      <c r="U261" s="22"/>
      <c r="V261" s="22"/>
      <c r="W261" s="6">
        <v>3.08</v>
      </c>
      <c r="X261" s="110">
        <v>0.65</v>
      </c>
      <c r="Y261" s="22"/>
      <c r="Z261" s="22"/>
      <c r="AA261" s="22"/>
      <c r="AB261" s="22"/>
      <c r="AC261" s="22"/>
      <c r="AD261" s="22"/>
      <c r="AE261" s="22"/>
      <c r="AF261" s="22"/>
      <c r="AG261" s="141">
        <v>0.24</v>
      </c>
    </row>
    <row r="262" spans="1:33" s="58" customFormat="1" ht="10.5" customHeight="1" x14ac:dyDescent="0.25">
      <c r="A262" s="48">
        <v>298</v>
      </c>
      <c r="B262" s="48" t="s">
        <v>113</v>
      </c>
      <c r="C262" s="48">
        <v>60</v>
      </c>
      <c r="D262" s="48"/>
      <c r="E262" s="48"/>
      <c r="F262" s="48"/>
      <c r="G262" s="48"/>
      <c r="H262" s="48">
        <v>22.56</v>
      </c>
      <c r="I262" s="48"/>
      <c r="J262" s="48"/>
      <c r="K262" s="48"/>
      <c r="L262" s="48">
        <v>1.8</v>
      </c>
      <c r="M262" s="48"/>
      <c r="N262" s="48">
        <v>40.799999999999997</v>
      </c>
      <c r="O262" s="48"/>
      <c r="P262" s="48"/>
      <c r="Q262" s="48"/>
      <c r="R262" s="48"/>
      <c r="S262" s="48"/>
      <c r="T262" s="48"/>
      <c r="U262" s="48">
        <v>3</v>
      </c>
      <c r="V262" s="48"/>
      <c r="W262" s="48"/>
      <c r="X262" s="48"/>
      <c r="Y262" s="48">
        <v>1.5</v>
      </c>
      <c r="Z262" s="48"/>
      <c r="AA262" s="48"/>
      <c r="AB262" s="48"/>
      <c r="AC262" s="48"/>
      <c r="AD262" s="48"/>
      <c r="AE262" s="48"/>
      <c r="AF262" s="48"/>
      <c r="AG262" s="48">
        <v>0.5</v>
      </c>
    </row>
    <row r="263" spans="1:33" s="58" customFormat="1" ht="10.5" customHeight="1" x14ac:dyDescent="0.25">
      <c r="A263" s="48">
        <v>321</v>
      </c>
      <c r="B263" s="48" t="s">
        <v>38</v>
      </c>
      <c r="C263" s="48">
        <v>120</v>
      </c>
      <c r="D263" s="48">
        <v>16</v>
      </c>
      <c r="E263" s="48"/>
      <c r="F263" s="48"/>
      <c r="G263" s="48"/>
      <c r="H263" s="48"/>
      <c r="I263" s="48"/>
      <c r="J263" s="48"/>
      <c r="K263" s="48"/>
      <c r="L263" s="48"/>
      <c r="M263" s="48">
        <v>102.6</v>
      </c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6">
        <v>5</v>
      </c>
      <c r="Y263" s="48"/>
      <c r="Z263" s="48"/>
      <c r="AA263" s="48"/>
      <c r="AB263" s="48"/>
      <c r="AC263" s="48"/>
      <c r="AD263" s="48"/>
      <c r="AE263" s="48"/>
      <c r="AF263" s="48"/>
      <c r="AG263" s="48">
        <v>1</v>
      </c>
    </row>
    <row r="264" spans="1:33" s="49" customFormat="1" ht="10.5" customHeight="1" x14ac:dyDescent="0.25">
      <c r="A264" s="48">
        <v>378</v>
      </c>
      <c r="B264" s="48" t="s">
        <v>164</v>
      </c>
      <c r="C264" s="48">
        <v>150</v>
      </c>
      <c r="D264" s="45"/>
      <c r="E264" s="45"/>
      <c r="F264" s="45"/>
      <c r="G264" s="45"/>
      <c r="H264" s="45"/>
      <c r="I264" s="48"/>
      <c r="J264" s="45"/>
      <c r="K264" s="45"/>
      <c r="L264" s="45"/>
      <c r="M264" s="45"/>
      <c r="N264" s="45"/>
      <c r="O264" s="45"/>
      <c r="P264" s="45">
        <v>16</v>
      </c>
      <c r="Q264" s="45"/>
      <c r="R264" s="45"/>
      <c r="S264" s="45"/>
      <c r="T264" s="45"/>
      <c r="U264" s="45"/>
      <c r="V264" s="45"/>
      <c r="W264" s="48"/>
      <c r="X264" s="45"/>
      <c r="Y264" s="45"/>
      <c r="Z264" s="45"/>
      <c r="AA264" s="45"/>
      <c r="AB264" s="45"/>
      <c r="AC264" s="45"/>
      <c r="AD264" s="45">
        <v>7</v>
      </c>
      <c r="AE264" s="45"/>
      <c r="AF264" s="45">
        <v>3.4</v>
      </c>
      <c r="AG264" s="45"/>
    </row>
    <row r="265" spans="1:33" s="49" customFormat="1" ht="10.5" customHeight="1" x14ac:dyDescent="0.25">
      <c r="A265" s="48"/>
      <c r="B265" s="48" t="s">
        <v>33</v>
      </c>
      <c r="C265" s="48">
        <v>30</v>
      </c>
      <c r="D265" s="45"/>
      <c r="E265" s="45"/>
      <c r="F265" s="45"/>
      <c r="G265" s="45"/>
      <c r="H265" s="45"/>
      <c r="I265" s="48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>
        <v>30</v>
      </c>
      <c r="U265" s="45"/>
      <c r="V265" s="45"/>
      <c r="W265" s="48"/>
      <c r="X265" s="45"/>
      <c r="Y265" s="45"/>
      <c r="Z265" s="45"/>
      <c r="AA265" s="45"/>
      <c r="AB265" s="45"/>
      <c r="AC265" s="45"/>
      <c r="AD265" s="45"/>
      <c r="AE265" s="45"/>
      <c r="AF265" s="45"/>
      <c r="AG265" s="45"/>
    </row>
    <row r="266" spans="1:33" s="47" customFormat="1" ht="10.5" customHeight="1" x14ac:dyDescent="0.25">
      <c r="A266" s="46"/>
      <c r="B266" s="46"/>
      <c r="C266" s="59">
        <f>SUM(C260:C265)</f>
        <v>540</v>
      </c>
      <c r="D266" s="46"/>
      <c r="E266" s="46"/>
      <c r="F266" s="46"/>
      <c r="G266" s="46"/>
      <c r="H266" s="46"/>
      <c r="I266" s="48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8"/>
      <c r="X266" s="46"/>
      <c r="Y266" s="46"/>
      <c r="Z266" s="46"/>
      <c r="AA266" s="46"/>
      <c r="AB266" s="46"/>
      <c r="AC266" s="46"/>
      <c r="AD266" s="46"/>
      <c r="AE266" s="46"/>
      <c r="AF266" s="46"/>
      <c r="AG266" s="46"/>
    </row>
    <row r="267" spans="1:33" s="105" customFormat="1" ht="10.5" customHeight="1" x14ac:dyDescent="0.25">
      <c r="A267" s="6">
        <v>54</v>
      </c>
      <c r="B267" s="6" t="s">
        <v>138</v>
      </c>
      <c r="C267" s="6">
        <v>40</v>
      </c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>
        <v>43</v>
      </c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>
        <v>3.4</v>
      </c>
      <c r="Z267" s="6"/>
      <c r="AA267" s="6"/>
      <c r="AB267" s="6"/>
      <c r="AC267" s="6"/>
      <c r="AD267" s="6">
        <v>0.5</v>
      </c>
      <c r="AE267" s="6"/>
      <c r="AF267" s="6"/>
      <c r="AG267" s="6">
        <v>0.1</v>
      </c>
    </row>
    <row r="268" spans="1:33" s="58" customFormat="1" ht="10.5" customHeight="1" x14ac:dyDescent="0.25">
      <c r="A268" s="48">
        <v>0.5</v>
      </c>
      <c r="B268" s="48" t="s">
        <v>107</v>
      </c>
      <c r="C268" s="48">
        <v>80</v>
      </c>
      <c r="D268" s="48">
        <v>24</v>
      </c>
      <c r="E268" s="48"/>
      <c r="F268" s="48"/>
      <c r="G268" s="48"/>
      <c r="H268" s="48"/>
      <c r="I268" s="48"/>
      <c r="J268" s="48">
        <v>64</v>
      </c>
      <c r="K268" s="48"/>
      <c r="L268" s="139">
        <v>7.04</v>
      </c>
      <c r="M268" s="48"/>
      <c r="N268" s="48"/>
      <c r="O268" s="48"/>
      <c r="P268" s="48"/>
      <c r="Q268" s="48"/>
      <c r="R268" s="48"/>
      <c r="S268" s="48"/>
      <c r="T268" s="48">
        <v>7</v>
      </c>
      <c r="U268" s="48"/>
      <c r="V268" s="48"/>
      <c r="W268" s="48"/>
      <c r="X268" s="139">
        <v>4</v>
      </c>
      <c r="Y268" s="48"/>
      <c r="Z268" s="48"/>
      <c r="AA268" s="48"/>
      <c r="AB268" s="48"/>
      <c r="AC268" s="48"/>
      <c r="AD268" s="48"/>
      <c r="AE268" s="48"/>
      <c r="AF268" s="48"/>
      <c r="AG268" s="48">
        <v>0.5</v>
      </c>
    </row>
    <row r="269" spans="1:33" s="58" customFormat="1" ht="10.5" customHeight="1" x14ac:dyDescent="0.25">
      <c r="A269" s="58">
        <v>334</v>
      </c>
      <c r="B269" s="48" t="s">
        <v>108</v>
      </c>
      <c r="C269" s="48">
        <v>120</v>
      </c>
      <c r="D269" s="48"/>
      <c r="E269" s="48"/>
      <c r="F269" s="48">
        <v>12</v>
      </c>
      <c r="G269" s="48"/>
      <c r="H269" s="48"/>
      <c r="I269" s="48"/>
      <c r="J269" s="48"/>
      <c r="K269" s="48"/>
      <c r="L269" s="48"/>
      <c r="M269" s="48"/>
      <c r="N269" s="48">
        <f>88*1.2</f>
        <v>105.6</v>
      </c>
      <c r="O269" s="48"/>
      <c r="P269" s="48"/>
      <c r="Q269" s="48"/>
      <c r="R269" s="48"/>
      <c r="S269" s="48"/>
      <c r="T269" s="48"/>
      <c r="U269" s="48"/>
      <c r="V269" s="48"/>
      <c r="W269" s="48">
        <v>1.08</v>
      </c>
      <c r="X269" s="48">
        <v>4.2</v>
      </c>
      <c r="Y269" s="48"/>
      <c r="Z269" s="48"/>
      <c r="AA269" s="48"/>
      <c r="AB269" s="48"/>
      <c r="AC269" s="48"/>
      <c r="AD269" s="48">
        <v>0.2</v>
      </c>
      <c r="AE269" s="48"/>
      <c r="AF269" s="48"/>
      <c r="AG269" s="48">
        <v>0.25</v>
      </c>
    </row>
    <row r="270" spans="1:33" s="105" customFormat="1" ht="10.5" customHeight="1" x14ac:dyDescent="0.25">
      <c r="A270" s="6"/>
      <c r="B270" s="6" t="s">
        <v>198</v>
      </c>
      <c r="C270" s="6">
        <v>40</v>
      </c>
      <c r="D270" s="6"/>
      <c r="E270" s="6"/>
      <c r="F270" s="6"/>
      <c r="G270" s="6"/>
      <c r="H270" s="6"/>
      <c r="I270" s="6"/>
      <c r="J270" s="6"/>
      <c r="K270" s="6"/>
      <c r="L270" s="141">
        <v>40</v>
      </c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48"/>
      <c r="X270" s="6"/>
      <c r="Y270" s="6"/>
      <c r="Z270" s="6"/>
      <c r="AA270" s="6"/>
      <c r="AB270" s="6"/>
      <c r="AC270" s="6"/>
      <c r="AD270" s="6"/>
      <c r="AE270" s="6"/>
      <c r="AF270" s="6"/>
      <c r="AG270" s="6"/>
    </row>
    <row r="271" spans="1:33" s="49" customFormat="1" ht="10.5" customHeight="1" x14ac:dyDescent="0.25">
      <c r="A271" s="48">
        <v>392</v>
      </c>
      <c r="B271" s="48" t="s">
        <v>168</v>
      </c>
      <c r="C271" s="48">
        <v>150</v>
      </c>
      <c r="D271" s="46">
        <v>150</v>
      </c>
      <c r="E271" s="46"/>
      <c r="F271" s="46"/>
      <c r="G271" s="46"/>
      <c r="H271" s="46"/>
      <c r="I271" s="48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8"/>
      <c r="X271" s="46"/>
      <c r="Y271" s="46"/>
      <c r="Z271" s="46"/>
      <c r="AA271" s="46"/>
      <c r="AB271" s="46"/>
      <c r="AC271" s="46"/>
      <c r="AD271" s="46"/>
      <c r="AE271" s="46"/>
      <c r="AF271" s="46"/>
      <c r="AG271" s="46"/>
    </row>
    <row r="272" spans="1:33" s="49" customFormat="1" ht="10.5" customHeight="1" x14ac:dyDescent="0.25">
      <c r="A272" s="48"/>
      <c r="B272" s="48" t="s">
        <v>151</v>
      </c>
      <c r="C272" s="48">
        <v>20</v>
      </c>
      <c r="D272" s="45"/>
      <c r="E272" s="45"/>
      <c r="F272" s="45"/>
      <c r="G272" s="45"/>
      <c r="H272" s="45"/>
      <c r="I272" s="48"/>
      <c r="J272" s="45"/>
      <c r="K272" s="45"/>
      <c r="L272" s="45"/>
      <c r="M272" s="45"/>
      <c r="N272" s="45"/>
      <c r="O272" s="45"/>
      <c r="P272" s="45"/>
      <c r="Q272" s="45"/>
      <c r="R272" s="45"/>
      <c r="S272" s="45">
        <v>20</v>
      </c>
      <c r="T272" s="45"/>
      <c r="U272" s="45"/>
      <c r="V272" s="45"/>
      <c r="W272" s="48"/>
      <c r="X272" s="45"/>
      <c r="Y272" s="45"/>
      <c r="Z272" s="45"/>
      <c r="AA272" s="45"/>
      <c r="AB272" s="45"/>
      <c r="AC272" s="45"/>
      <c r="AD272" s="45"/>
      <c r="AE272" s="45"/>
      <c r="AF272" s="45"/>
      <c r="AG272" s="45"/>
    </row>
    <row r="273" spans="1:33" s="49" customFormat="1" ht="10.5" customHeight="1" x14ac:dyDescent="0.25">
      <c r="A273" s="48">
        <v>476</v>
      </c>
      <c r="B273" s="48" t="s">
        <v>122</v>
      </c>
      <c r="C273" s="139">
        <v>30</v>
      </c>
      <c r="D273" s="45"/>
      <c r="E273" s="45"/>
      <c r="F273" s="45"/>
      <c r="G273" s="45"/>
      <c r="H273" s="45"/>
      <c r="I273" s="48"/>
      <c r="J273" s="45"/>
      <c r="K273" s="45"/>
      <c r="L273" s="139">
        <v>0.24</v>
      </c>
      <c r="M273" s="45"/>
      <c r="N273" s="45">
        <v>4</v>
      </c>
      <c r="O273" s="45"/>
      <c r="P273" s="45"/>
      <c r="Q273" s="45"/>
      <c r="R273" s="45"/>
      <c r="S273" s="45"/>
      <c r="T273" s="45"/>
      <c r="U273" s="45"/>
      <c r="V273" s="45"/>
      <c r="W273" s="139">
        <v>37.89</v>
      </c>
      <c r="X273" s="45"/>
      <c r="Y273" s="139">
        <v>1.0900000000000001</v>
      </c>
      <c r="Z273" s="45"/>
      <c r="AA273" s="45"/>
      <c r="AB273" s="45"/>
      <c r="AC273" s="45"/>
      <c r="AD273" s="45">
        <v>2</v>
      </c>
      <c r="AE273" s="45">
        <v>0.6</v>
      </c>
      <c r="AF273" s="45"/>
      <c r="AG273" s="139">
        <v>0.35</v>
      </c>
    </row>
    <row r="274" spans="1:33" ht="10.5" customHeight="1" x14ac:dyDescent="0.25">
      <c r="A274" s="6"/>
      <c r="B274" s="6"/>
      <c r="C274" s="42">
        <f>SUM(C267:C273)</f>
        <v>480</v>
      </c>
    </row>
    <row r="275" spans="1:33" s="11" customFormat="1" ht="10.5" customHeight="1" x14ac:dyDescent="0.25">
      <c r="A275" s="14"/>
      <c r="B275" s="16" t="s">
        <v>79</v>
      </c>
      <c r="C275" s="14"/>
      <c r="D275" s="9">
        <f t="shared" ref="D275:AG275" si="9">SUM(D251:D273)</f>
        <v>465.8</v>
      </c>
      <c r="E275" s="9">
        <f t="shared" si="9"/>
        <v>0</v>
      </c>
      <c r="F275" s="9">
        <f t="shared" si="9"/>
        <v>12</v>
      </c>
      <c r="G275" s="9">
        <f t="shared" si="9"/>
        <v>0</v>
      </c>
      <c r="H275" s="9">
        <f t="shared" si="9"/>
        <v>88.56</v>
      </c>
      <c r="I275" s="9">
        <f t="shared" si="9"/>
        <v>0</v>
      </c>
      <c r="J275" s="9">
        <f t="shared" si="9"/>
        <v>64</v>
      </c>
      <c r="K275" s="9">
        <f t="shared" si="9"/>
        <v>0</v>
      </c>
      <c r="L275" s="9">
        <f t="shared" si="9"/>
        <v>56.660000000000004</v>
      </c>
      <c r="M275" s="9">
        <f t="shared" si="9"/>
        <v>136.6</v>
      </c>
      <c r="N275" s="9">
        <f t="shared" si="9"/>
        <v>251</v>
      </c>
      <c r="O275" s="9">
        <f t="shared" si="9"/>
        <v>0</v>
      </c>
      <c r="P275" s="9">
        <f t="shared" si="9"/>
        <v>16</v>
      </c>
      <c r="Q275" s="9">
        <f t="shared" si="9"/>
        <v>0</v>
      </c>
      <c r="R275" s="9">
        <f t="shared" si="9"/>
        <v>0</v>
      </c>
      <c r="S275" s="9">
        <f t="shared" si="9"/>
        <v>40</v>
      </c>
      <c r="T275" s="9">
        <f t="shared" si="9"/>
        <v>67</v>
      </c>
      <c r="U275" s="9">
        <f t="shared" si="9"/>
        <v>14.5</v>
      </c>
      <c r="V275" s="9">
        <f t="shared" si="9"/>
        <v>0</v>
      </c>
      <c r="W275" s="9">
        <f t="shared" si="9"/>
        <v>42.05</v>
      </c>
      <c r="X275" s="9">
        <f t="shared" si="9"/>
        <v>19.650000000000002</v>
      </c>
      <c r="Y275" s="9">
        <f t="shared" si="9"/>
        <v>10.39</v>
      </c>
      <c r="Z275" s="9">
        <f t="shared" si="9"/>
        <v>15</v>
      </c>
      <c r="AA275" s="9">
        <f t="shared" si="9"/>
        <v>0.7</v>
      </c>
      <c r="AB275" s="9">
        <f t="shared" si="9"/>
        <v>0</v>
      </c>
      <c r="AC275" s="9">
        <f t="shared" si="9"/>
        <v>0</v>
      </c>
      <c r="AD275" s="9">
        <f t="shared" si="9"/>
        <v>21.279999999999998</v>
      </c>
      <c r="AE275" s="9">
        <f t="shared" si="9"/>
        <v>0.6</v>
      </c>
      <c r="AF275" s="9">
        <f t="shared" si="9"/>
        <v>3.4</v>
      </c>
      <c r="AG275" s="9">
        <f t="shared" si="9"/>
        <v>3.99</v>
      </c>
    </row>
    <row r="276" spans="1:33" s="21" customFormat="1" ht="10.5" customHeight="1" x14ac:dyDescent="0.25">
      <c r="A276" s="28"/>
      <c r="B276" s="29"/>
      <c r="C276" s="30"/>
      <c r="D276" s="19"/>
      <c r="E276" s="19"/>
      <c r="F276" s="19"/>
      <c r="G276" s="19"/>
      <c r="H276" s="19"/>
      <c r="I276" s="30"/>
      <c r="J276" s="19"/>
      <c r="K276" s="19"/>
      <c r="L276" s="19"/>
      <c r="M276" s="19"/>
      <c r="N276" s="19"/>
      <c r="O276" s="19"/>
      <c r="P276" s="19"/>
      <c r="Q276" s="19"/>
      <c r="R276" s="19"/>
      <c r="S276" s="19"/>
      <c r="T276" s="19"/>
      <c r="U276" s="19"/>
      <c r="V276" s="19"/>
      <c r="W276" s="111"/>
      <c r="X276" s="19"/>
      <c r="Y276" s="19"/>
      <c r="Z276" s="19"/>
      <c r="AA276" s="19"/>
      <c r="AB276" s="19"/>
      <c r="AC276" s="19"/>
      <c r="AD276" s="19"/>
      <c r="AE276" s="19"/>
      <c r="AF276" s="19"/>
      <c r="AG276" s="19"/>
    </row>
    <row r="277" spans="1:33" s="35" customFormat="1" ht="16.5" customHeight="1" x14ac:dyDescent="0.3">
      <c r="A277" s="31"/>
      <c r="B277" s="32" t="s">
        <v>90</v>
      </c>
      <c r="C277" s="33"/>
      <c r="D277" s="34">
        <f t="shared" ref="D277:AG277" si="10">D275+D249+D221+D191+D164+D138+D110+D85+D56+D28</f>
        <v>3813.7333333333331</v>
      </c>
      <c r="E277" s="34">
        <f t="shared" si="10"/>
        <v>294.27999999999997</v>
      </c>
      <c r="F277" s="34">
        <f t="shared" si="10"/>
        <v>92.17</v>
      </c>
      <c r="G277" s="34">
        <f t="shared" si="10"/>
        <v>40</v>
      </c>
      <c r="H277" s="34">
        <f t="shared" si="10"/>
        <v>487.65999999999997</v>
      </c>
      <c r="I277" s="33">
        <f t="shared" si="10"/>
        <v>194</v>
      </c>
      <c r="J277" s="34">
        <f t="shared" si="10"/>
        <v>305.2</v>
      </c>
      <c r="K277" s="34">
        <f t="shared" si="10"/>
        <v>196.7</v>
      </c>
      <c r="L277" s="34">
        <f t="shared" si="10"/>
        <v>391.54</v>
      </c>
      <c r="M277" s="34">
        <f t="shared" si="10"/>
        <v>1150.5</v>
      </c>
      <c r="N277" s="34">
        <f t="shared" si="10"/>
        <v>1774.34</v>
      </c>
      <c r="O277" s="34">
        <f t="shared" si="10"/>
        <v>985.68000000000006</v>
      </c>
      <c r="P277" s="34">
        <f t="shared" si="10"/>
        <v>91.55</v>
      </c>
      <c r="Q277" s="34">
        <f t="shared" si="10"/>
        <v>975</v>
      </c>
      <c r="R277" s="34">
        <f t="shared" si="10"/>
        <v>0</v>
      </c>
      <c r="S277" s="34">
        <f t="shared" si="10"/>
        <v>380</v>
      </c>
      <c r="T277" s="34">
        <f t="shared" si="10"/>
        <v>586.70000000000005</v>
      </c>
      <c r="U277" s="34">
        <f t="shared" si="10"/>
        <v>292.16999999999996</v>
      </c>
      <c r="V277" s="34">
        <f t="shared" si="10"/>
        <v>77</v>
      </c>
      <c r="W277" s="33">
        <f t="shared" si="10"/>
        <v>258.32</v>
      </c>
      <c r="X277" s="34">
        <f t="shared" si="10"/>
        <v>174.38666666666666</v>
      </c>
      <c r="Y277" s="34">
        <f t="shared" si="10"/>
        <v>82.6</v>
      </c>
      <c r="Z277" s="34">
        <f t="shared" si="10"/>
        <v>122</v>
      </c>
      <c r="AA277" s="34">
        <f t="shared" si="10"/>
        <v>5.1000000000000005</v>
      </c>
      <c r="AB277" s="34">
        <f t="shared" si="10"/>
        <v>5</v>
      </c>
      <c r="AC277" s="34">
        <f t="shared" si="10"/>
        <v>9.8999999999999986</v>
      </c>
      <c r="AD277" s="34">
        <f t="shared" si="10"/>
        <v>242.25000000000003</v>
      </c>
      <c r="AE277" s="34">
        <f t="shared" si="10"/>
        <v>3.6199999999999997</v>
      </c>
      <c r="AF277" s="34">
        <f t="shared" si="10"/>
        <v>21.349999999999998</v>
      </c>
      <c r="AG277" s="34">
        <f t="shared" si="10"/>
        <v>31.8</v>
      </c>
    </row>
    <row r="278" spans="1:33" s="35" customFormat="1" ht="17.25" customHeight="1" x14ac:dyDescent="0.3">
      <c r="A278" s="34"/>
      <c r="B278" s="36" t="s">
        <v>91</v>
      </c>
      <c r="C278" s="34"/>
      <c r="D278" s="34">
        <f>D279*10</f>
        <v>3900</v>
      </c>
      <c r="E278" s="34">
        <f>E279*10</f>
        <v>300</v>
      </c>
      <c r="F278" s="34">
        <f t="shared" ref="F278:AG278" si="11">F279*10</f>
        <v>90</v>
      </c>
      <c r="G278" s="34">
        <f t="shared" si="11"/>
        <v>40</v>
      </c>
      <c r="H278" s="34">
        <f t="shared" si="11"/>
        <v>500</v>
      </c>
      <c r="I278" s="33">
        <f t="shared" si="11"/>
        <v>200</v>
      </c>
      <c r="J278" s="34">
        <f t="shared" si="11"/>
        <v>320</v>
      </c>
      <c r="K278" s="34">
        <f t="shared" si="11"/>
        <v>200</v>
      </c>
      <c r="L278" s="34">
        <f t="shared" si="11"/>
        <v>400</v>
      </c>
      <c r="M278" s="34">
        <f t="shared" si="11"/>
        <v>1200</v>
      </c>
      <c r="N278" s="34">
        <f t="shared" si="11"/>
        <v>1800</v>
      </c>
      <c r="O278" s="34">
        <f t="shared" si="11"/>
        <v>950</v>
      </c>
      <c r="P278" s="34">
        <f t="shared" si="11"/>
        <v>90</v>
      </c>
      <c r="Q278" s="34">
        <f t="shared" si="11"/>
        <v>1000</v>
      </c>
      <c r="R278" s="34">
        <f t="shared" si="11"/>
        <v>0</v>
      </c>
      <c r="S278" s="34">
        <f t="shared" si="11"/>
        <v>400</v>
      </c>
      <c r="T278" s="34">
        <f t="shared" si="11"/>
        <v>600</v>
      </c>
      <c r="U278" s="34">
        <f t="shared" si="11"/>
        <v>300</v>
      </c>
      <c r="V278" s="34">
        <f t="shared" si="11"/>
        <v>80</v>
      </c>
      <c r="W278" s="33">
        <f t="shared" si="11"/>
        <v>250</v>
      </c>
      <c r="X278" s="34">
        <f t="shared" si="11"/>
        <v>180</v>
      </c>
      <c r="Y278" s="34">
        <f t="shared" si="11"/>
        <v>90</v>
      </c>
      <c r="Z278" s="34">
        <f t="shared" si="11"/>
        <v>120</v>
      </c>
      <c r="AA278" s="34">
        <f t="shared" si="11"/>
        <v>5</v>
      </c>
      <c r="AB278" s="34">
        <f t="shared" si="11"/>
        <v>5</v>
      </c>
      <c r="AC278" s="34">
        <f t="shared" si="11"/>
        <v>10</v>
      </c>
      <c r="AD278" s="34">
        <f t="shared" si="11"/>
        <v>250</v>
      </c>
      <c r="AE278" s="34">
        <f t="shared" si="11"/>
        <v>4</v>
      </c>
      <c r="AF278" s="34">
        <f t="shared" si="11"/>
        <v>20</v>
      </c>
      <c r="AG278" s="34">
        <f t="shared" si="11"/>
        <v>30</v>
      </c>
    </row>
    <row r="279" spans="1:33" ht="16.5" customHeight="1" x14ac:dyDescent="0.25">
      <c r="A279" s="179" t="s">
        <v>94</v>
      </c>
      <c r="B279" s="180"/>
      <c r="D279" s="5">
        <v>390</v>
      </c>
      <c r="E279" s="5">
        <v>30</v>
      </c>
      <c r="F279" s="5">
        <v>9</v>
      </c>
      <c r="G279" s="5">
        <v>4</v>
      </c>
      <c r="H279" s="5">
        <v>50</v>
      </c>
      <c r="I279" s="6">
        <v>20</v>
      </c>
      <c r="J279" s="5">
        <v>32</v>
      </c>
      <c r="K279" s="5">
        <v>20</v>
      </c>
      <c r="L279" s="5">
        <v>40</v>
      </c>
      <c r="M279" s="5">
        <v>120</v>
      </c>
      <c r="N279" s="5">
        <v>180</v>
      </c>
      <c r="O279" s="5">
        <v>95</v>
      </c>
      <c r="P279" s="5">
        <v>9</v>
      </c>
      <c r="Q279" s="5">
        <v>100</v>
      </c>
      <c r="R279" s="5">
        <v>0</v>
      </c>
      <c r="S279" s="5">
        <v>40</v>
      </c>
      <c r="T279" s="5">
        <v>60</v>
      </c>
      <c r="U279" s="5">
        <v>30</v>
      </c>
      <c r="V279" s="5">
        <v>8</v>
      </c>
      <c r="W279" s="48">
        <v>25</v>
      </c>
      <c r="X279" s="5">
        <v>18</v>
      </c>
      <c r="Y279" s="5">
        <v>9</v>
      </c>
      <c r="Z279" s="5">
        <v>12</v>
      </c>
      <c r="AA279" s="5">
        <v>0.5</v>
      </c>
      <c r="AB279" s="5">
        <v>0.5</v>
      </c>
      <c r="AC279" s="5">
        <v>1</v>
      </c>
      <c r="AD279" s="5">
        <v>25</v>
      </c>
      <c r="AE279" s="5">
        <v>0.4</v>
      </c>
      <c r="AF279" s="5">
        <v>2</v>
      </c>
      <c r="AG279" s="5">
        <v>3</v>
      </c>
    </row>
    <row r="280" spans="1:33" s="39" customFormat="1" ht="18" customHeight="1" x14ac:dyDescent="0.3">
      <c r="A280" s="37"/>
      <c r="B280" s="37" t="s">
        <v>92</v>
      </c>
      <c r="C280" s="37"/>
      <c r="D280" s="38">
        <f>-(100-(D277*100/D278))</f>
        <v>-2.2119658119658112</v>
      </c>
      <c r="E280" s="38">
        <f t="shared" ref="E280:AG280" si="12">-(100-(E277*100/E278))</f>
        <v>-1.9066666666666805</v>
      </c>
      <c r="F280" s="38">
        <f t="shared" si="12"/>
        <v>2.4111111111111114</v>
      </c>
      <c r="G280" s="38">
        <f t="shared" si="12"/>
        <v>0</v>
      </c>
      <c r="H280" s="38">
        <f t="shared" si="12"/>
        <v>-2.4680000000000035</v>
      </c>
      <c r="I280" s="108">
        <f t="shared" si="12"/>
        <v>-3</v>
      </c>
      <c r="J280" s="38">
        <f t="shared" si="12"/>
        <v>-4.625</v>
      </c>
      <c r="K280" s="38">
        <f t="shared" si="12"/>
        <v>-1.6500000000000057</v>
      </c>
      <c r="L280" s="38">
        <f t="shared" si="12"/>
        <v>-2.1149999999999949</v>
      </c>
      <c r="M280" s="38">
        <f t="shared" si="12"/>
        <v>-4.125</v>
      </c>
      <c r="N280" s="38">
        <f t="shared" si="12"/>
        <v>-1.4255555555555617</v>
      </c>
      <c r="O280" s="38">
        <f t="shared" si="12"/>
        <v>3.7557894736842172</v>
      </c>
      <c r="P280" s="38">
        <f t="shared" si="12"/>
        <v>1.7222222222222285</v>
      </c>
      <c r="Q280" s="38">
        <f t="shared" si="12"/>
        <v>-2.5</v>
      </c>
      <c r="R280" s="38">
        <v>0</v>
      </c>
      <c r="S280" s="38">
        <f t="shared" si="12"/>
        <v>-5</v>
      </c>
      <c r="T280" s="38">
        <f t="shared" si="12"/>
        <v>-2.2166666666666544</v>
      </c>
      <c r="U280" s="38">
        <f t="shared" si="12"/>
        <v>-2.6100000000000136</v>
      </c>
      <c r="V280" s="38">
        <f t="shared" si="12"/>
        <v>-3.75</v>
      </c>
      <c r="W280" s="108">
        <f t="shared" si="12"/>
        <v>3.328000000000003</v>
      </c>
      <c r="X280" s="38">
        <f t="shared" si="12"/>
        <v>-3.1185185185185276</v>
      </c>
      <c r="Y280" s="38">
        <f t="shared" si="12"/>
        <v>-8.2222222222222285</v>
      </c>
      <c r="Z280" s="38">
        <f t="shared" si="12"/>
        <v>1.6666666666666714</v>
      </c>
      <c r="AA280" s="38">
        <f t="shared" si="12"/>
        <v>2.0000000000000142</v>
      </c>
      <c r="AB280" s="38">
        <f t="shared" si="12"/>
        <v>0</v>
      </c>
      <c r="AC280" s="38">
        <f t="shared" si="12"/>
        <v>-1.0000000000000142</v>
      </c>
      <c r="AD280" s="38">
        <f t="shared" si="12"/>
        <v>-3.0999999999999801</v>
      </c>
      <c r="AE280" s="38">
        <f t="shared" si="12"/>
        <v>-9.5000000000000142</v>
      </c>
      <c r="AF280" s="38">
        <f t="shared" si="12"/>
        <v>6.75</v>
      </c>
      <c r="AG280" s="38">
        <f t="shared" si="12"/>
        <v>6</v>
      </c>
    </row>
  </sheetData>
  <mergeCells count="11">
    <mergeCell ref="A140:B140"/>
    <mergeCell ref="A279:B279"/>
    <mergeCell ref="A2:B2"/>
    <mergeCell ref="A30:B30"/>
    <mergeCell ref="A58:B58"/>
    <mergeCell ref="A86:B86"/>
    <mergeCell ref="A112:B112"/>
    <mergeCell ref="A166:B166"/>
    <mergeCell ref="A193:B193"/>
    <mergeCell ref="A223:B223"/>
    <mergeCell ref="A250:B25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Энерг.Ц.</vt:lpstr>
      <vt:lpstr>Меню зима-</vt:lpstr>
      <vt:lpstr>Сырьё зима</vt:lpstr>
      <vt:lpstr>'Меню зима-'!Область_печати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2022-03-15T12:21:46Z</dcterms:modified>
</cp:coreProperties>
</file>