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ngur\Downloads\"/>
    </mc:Choice>
  </mc:AlternateContent>
  <xr:revisionPtr revIDLastSave="0" documentId="8_{3431472E-F7B6-4B0C-9757-3D6BBE4A8EA0}" xr6:coauthVersionLast="47" xr6:coauthVersionMax="47" xr10:uidLastSave="{00000000-0000-0000-0000-000000000000}"/>
  <workbookProtection workbookPassword="EB34" lockStructure="1"/>
  <bookViews>
    <workbookView xWindow="-108" yWindow="-108" windowWidth="23256" windowHeight="13896" tabRatio="603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H2" i="31" l="1"/>
  <c r="P2" i="31"/>
  <c r="V2" i="31"/>
  <c r="H2" i="27"/>
  <c r="P2" i="27"/>
  <c r="V2" i="27"/>
  <c r="G2" i="22" l="1"/>
  <c r="Q2" i="22"/>
  <c r="V2" i="22"/>
  <c r="AB2" i="22"/>
  <c r="G2" i="20"/>
  <c r="Q2" i="20"/>
  <c r="V2" i="20"/>
  <c r="AB2" i="20"/>
  <c r="G2" i="17"/>
  <c r="Q2" i="17"/>
  <c r="V2" i="17"/>
  <c r="AB2" i="17"/>
  <c r="G2" i="19"/>
  <c r="N2" i="19"/>
  <c r="T2" i="19"/>
  <c r="H9" i="19" l="1"/>
  <c r="H9" i="22"/>
  <c r="R9" i="22"/>
  <c r="H9" i="20"/>
  <c r="R9" i="20"/>
  <c r="H12" i="17"/>
  <c r="R12" i="17"/>
  <c r="I124" i="31" l="1"/>
  <c r="I122" i="31"/>
  <c r="I136" i="31"/>
  <c r="I126" i="31"/>
  <c r="I87" i="31"/>
  <c r="I72" i="31"/>
  <c r="I46" i="27"/>
  <c r="I38" i="27"/>
  <c r="I118" i="31"/>
  <c r="I45" i="27" l="1"/>
  <c r="I44" i="27"/>
  <c r="I93" i="31"/>
  <c r="I49" i="31"/>
  <c r="I43" i="27"/>
  <c r="I42" i="27"/>
  <c r="I41" i="27"/>
  <c r="I40" i="27"/>
  <c r="I145" i="31" l="1"/>
  <c r="I144" i="31"/>
  <c r="I37" i="27"/>
  <c r="I12" i="31"/>
  <c r="I9" i="27"/>
  <c r="I17" i="27"/>
  <c r="I33" i="31"/>
  <c r="I17" i="31"/>
  <c r="I36" i="27" l="1"/>
  <c r="I143" i="31"/>
  <c r="I35" i="27"/>
  <c r="I34" i="27"/>
  <c r="I142" i="31"/>
  <c r="I33" i="27"/>
  <c r="I141" i="31"/>
  <c r="I140" i="31"/>
  <c r="H9" i="17" l="1"/>
  <c r="R9" i="17"/>
  <c r="I101" i="31"/>
  <c r="I98" i="31"/>
  <c r="I69" i="31"/>
  <c r="I54" i="31"/>
  <c r="I28" i="27"/>
  <c r="I9" i="31"/>
  <c r="I32" i="27" l="1"/>
  <c r="I31" i="27" l="1"/>
  <c r="I30" i="27"/>
  <c r="I121" i="31"/>
  <c r="I27" i="27"/>
  <c r="I26" i="27"/>
  <c r="I117" i="31" l="1"/>
  <c r="I116" i="31" l="1"/>
  <c r="I115" i="31"/>
  <c r="I25" i="27"/>
  <c r="I16" i="27"/>
  <c r="I114" i="31"/>
  <c r="I113" i="31"/>
  <c r="I111" i="31"/>
  <c r="I107" i="31" l="1"/>
  <c r="I15" i="27" l="1"/>
  <c r="I14" i="27"/>
  <c r="I48" i="27"/>
  <c r="H13" i="19" l="1"/>
  <c r="I110" i="31" l="1"/>
  <c r="I109" i="31" l="1"/>
  <c r="I48" i="31" l="1"/>
  <c r="I43" i="31"/>
  <c r="I38" i="3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<sst xmlns="http://schemas.openxmlformats.org/spreadsheetml/2006/main" count="988" uniqueCount="341">
  <si>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</si>
  <si>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</si>
  <si>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</si>
  <si>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</si>
  <si>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</si>
  <si>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</si>
  <si>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</si>
  <si>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</si>
  <si>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</si>
  <si>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</si>
  <si>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</si>
  <si>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</si>
  <si>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</si>
  <si>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</si>
  <si>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</si>
  <si>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</si>
  <si>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</si>
  <si>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</si>
  <si>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</si>
  <si>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</si>
  <si>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</si>
  <si>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</si>
  <si>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</si>
  <si>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</si>
  <si>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</si>
  <si>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</si>
  <si>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</si>
  <si>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</si>
  <si>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</si>
  <si>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</si>
  <si>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</si>
  <si>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</si>
  <si>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</si>
  <si>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</si>
  <si>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</si>
  <si>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</si>
  <si>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</si>
  <si>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</si>
  <si>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</si>
  <si>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</si>
  <si>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</si>
  <si>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</si>
  <si>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</si>
  <si>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</si>
  <si>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</si>
  <si>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</si>
  <si>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</si>
  <si>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</si>
  <si>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</si>
  <si>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</si>
  <si>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</si>
  <si>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</si>
  <si>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</si>
  <si>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</si>
  <si>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</si>
  <si>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</si>
  <si>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</si>
  <si>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</si>
  <si>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</si>
  <si>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</si>
  <si>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</si>
  <si>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</si>
  <si>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</si>
  <si>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</si>
  <si>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</si>
  <si>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</si>
  <si>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</si>
  <si>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</si>
  <si>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</si>
  <si>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</si>
  <si>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</si>
  <si>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</si>
  <si>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</si>
  <si>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</si>
  <si>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</si>
  <si>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</si>
  <si>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</si>
  <si>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</si>
  <si>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</si>
  <si>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</si>
  <si>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</si>
  <si>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</si>
  <si>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</si>
  <si>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</si>
  <si>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</si>
  <si>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</si>
  <si>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</si>
  <si>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</si>
  <si>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</si>
  <si>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</si>
  <si>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</si>
  <si>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</si>
  <si>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</si>
  <si>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</si>
  <si>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</si>
  <si>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</si>
  <si>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</si>
  <si>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</si>
  <si>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</si>
  <si>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</si>
  <si>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</si>
  <si>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</si>
  <si>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</si>
  <si>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</si>
  <si>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</si>
  <si>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</si>
  <si>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</si>
  <si>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</si>
  <si>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</si>
  <si>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</si>
  <si>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</si>
  <si>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</si>
  <si>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</si>
  <si>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</si>
  <si>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</si>
  <si>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</si>
  <si>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</si>
  <si>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</si>
  <si>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</si>
  <si>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</si>
  <si>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</si>
  <si>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</si>
  <si>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</si>
  <si>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</si>
  <si>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</si>
  <si>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</si>
  <si>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</si>
  <si>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</si>
  <si>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</si>
  <si>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</si>
  <si>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</si>
  <si>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</si>
  <si>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</si>
  <si>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</si>
  <si>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</si>
  <si>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</si>
  <si>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</si>
  <si>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</si>
  <si>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</si>
  <si>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</si>
  <si>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</si>
  <si>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</si>
  <si>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</si>
  <si>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</si>
  <si>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</si>
  <si>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</si>
  <si>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</si>
  <si>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</si>
  <si>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</si>
  <si>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</si>
  <si>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</si>
  <si>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</si>
  <si>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</si>
  <si>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</si>
  <si>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</si>
  <si>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</si>
  <si>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</si>
  <si>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</si>
  <si>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</si>
  <si>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</si>
  <si>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</si>
  <si>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</si>
  <si>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</si>
  <si>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</si>
  <si>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</si>
  <si>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</si>
  <si>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</si>
  <si>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</si>
  <si>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</si>
  <si>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</si>
  <si>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</si>
  <si>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</si>
  <si>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</si>
  <si>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</si>
  <si>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</si>
  <si>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</si>
  <si>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</si>
  <si>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</si>
  <si>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</si>
  <si>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</si>
  <si>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</si>
  <si>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</si>
  <si>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</si>
  <si>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</si>
  <si>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</si>
  <si>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</si>
  <si>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</si>
  <si>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</si>
  <si>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</si>
  <si>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</si>
  <si>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</si>
  <si>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</si>
  <si>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</si>
  <si>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</si>
  <si>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</si>
  <si>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</si>
  <si>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</si>
  <si>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</si>
  <si>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</si>
  <si>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</si>
  <si>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</si>
  <si>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</si>
  <si>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</si>
  <si>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</si>
  <si>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</si>
  <si>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</si>
  <si>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</si>
  <si>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</si>
  <si>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</si>
  <si>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</si>
  <si>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</si>
  <si>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</si>
  <si>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</si>
  <si>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</si>
  <si>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</si>
  <si>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</si>
  <si>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</si>
  <si>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</si>
  <si>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</si>
  <si>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</si>
  <si>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</si>
  <si>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</si>
  <si>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</si>
  <si>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</si>
  <si>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</si>
  <si>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</si>
  <si>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</si>
  <si>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</si>
  <si>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</si>
  <si>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6/25</t>
  </si>
  <si>
    <t>Дезинфекция</t>
  </si>
  <si>
    <t>ООО "Дезинфекция"</t>
  </si>
  <si>
    <t>Шины</t>
  </si>
  <si>
    <t>235303483777</t>
  </si>
  <si>
    <t>06/26.02</t>
  </si>
  <si>
    <t>ООО "Вольный странник"</t>
  </si>
  <si>
    <t>книги</t>
  </si>
  <si>
    <t>Мясорубка</t>
  </si>
  <si>
    <t>ИП Латышева</t>
  </si>
  <si>
    <t>Услуги связи</t>
  </si>
  <si>
    <t>7707049388</t>
  </si>
  <si>
    <t>ПАО "Ростелеком"</t>
  </si>
  <si>
    <t>баннеры</t>
  </si>
  <si>
    <t>235303800426</t>
  </si>
  <si>
    <t>ИП Шашанков</t>
  </si>
  <si>
    <t>Форма</t>
  </si>
  <si>
    <t>ИП Котляров Е.В.</t>
  </si>
  <si>
    <t>97</t>
  </si>
  <si>
    <t>медосмотр</t>
  </si>
  <si>
    <t>ГБУЗ "Тимашевская ЦРБ"</t>
  </si>
  <si>
    <t>2025.080044</t>
  </si>
  <si>
    <t>6-25-К</t>
  </si>
  <si>
    <t>Дезинсекция</t>
  </si>
  <si>
    <t>2353018870</t>
  </si>
  <si>
    <t>73-ЭО</t>
  </si>
  <si>
    <t>Оказание консультационных услуг по составлению отчетности</t>
  </si>
  <si>
    <t>235306110100</t>
  </si>
  <si>
    <t>ИП Казерова</t>
  </si>
  <si>
    <t>бн</t>
  </si>
  <si>
    <t>поставка учебно-педагогической документации</t>
  </si>
  <si>
    <t>ООО "Краснодарский учколлектор"</t>
  </si>
  <si>
    <t>К143186/25</t>
  </si>
  <si>
    <t>Право использования программы для ЭВМ</t>
  </si>
  <si>
    <t>6663003127</t>
  </si>
  <si>
    <t>АО "Производственная фирма "СКБ Контур"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</si>
  <si>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</si>
  <si>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ИП Тарануха</t>
  </si>
  <si>
    <t>233003348389</t>
  </si>
  <si>
    <t>Канцтовары, бумага</t>
  </si>
  <si>
    <t>Ремонт МФУ</t>
  </si>
  <si>
    <t>235300809163</t>
  </si>
  <si>
    <t>ИП Коваленко</t>
  </si>
  <si>
    <t>126</t>
  </si>
  <si>
    <t>шиномонтаж</t>
  </si>
  <si>
    <t>235305769122</t>
  </si>
  <si>
    <t>31.03.202,5</t>
  </si>
  <si>
    <t>оказание услуг по организации питания</t>
  </si>
  <si>
    <t xml:space="preserve">нет </t>
  </si>
  <si>
    <t>Поставка мотоблока</t>
  </si>
  <si>
    <t>230801417961</t>
  </si>
  <si>
    <t>ИП Осипян</t>
  </si>
  <si>
    <t>31</t>
  </si>
  <si>
    <t>Косилка роторная</t>
  </si>
  <si>
    <t>Технический осмотр автобуса</t>
  </si>
  <si>
    <t>138-ТО</t>
  </si>
  <si>
    <t>534246403</t>
  </si>
  <si>
    <t>Передача неисключительных прав использования базы данных</t>
  </si>
  <si>
    <t>7713754243</t>
  </si>
  <si>
    <t>ООО "М-пресс"</t>
  </si>
  <si>
    <t>ИП Титаренко</t>
  </si>
  <si>
    <t>262702826243</t>
  </si>
  <si>
    <t>АКБ</t>
  </si>
  <si>
    <t>30</t>
  </si>
  <si>
    <t>5665/212</t>
  </si>
  <si>
    <t>Подписка периодической печати</t>
  </si>
  <si>
    <t>7724490000</t>
  </si>
  <si>
    <t>АО "Почта России"</t>
  </si>
  <si>
    <t>32</t>
  </si>
  <si>
    <t>19/05</t>
  </si>
  <si>
    <t>Стенды</t>
  </si>
  <si>
    <t>162802903788</t>
  </si>
  <si>
    <t>ИП Стусь</t>
  </si>
  <si>
    <t>37</t>
  </si>
  <si>
    <t>33</t>
  </si>
  <si>
    <t>38</t>
  </si>
  <si>
    <t>Проектор</t>
  </si>
  <si>
    <t>231107998282</t>
  </si>
  <si>
    <t>АТ00-004759</t>
  </si>
  <si>
    <t>2311187588</t>
  </si>
  <si>
    <t>ООО "АйТи Мониторинг"</t>
  </si>
  <si>
    <t>06/СМЭВ/52</t>
  </si>
  <si>
    <t>предоставление сертификата</t>
  </si>
  <si>
    <t>2310240550</t>
  </si>
  <si>
    <t>ООО "ЦИТ"</t>
  </si>
  <si>
    <t>06/К/СМЭВ/49</t>
  </si>
  <si>
    <t>оказание услуг по установке конфигурационных файлов</t>
  </si>
  <si>
    <t>Бумага</t>
  </si>
  <si>
    <t>2025/6</t>
  </si>
  <si>
    <t>Питание лагерь</t>
  </si>
  <si>
    <t>23530020735</t>
  </si>
  <si>
    <t>1/2025/12</t>
  </si>
  <si>
    <t>Услуги по публичному показу музейных ценностей</t>
  </si>
  <si>
    <t>2310052884</t>
  </si>
  <si>
    <t>ГБУК КК "КГИАМЗ им. Фелицына"</t>
  </si>
  <si>
    <t>30 % предоплаты от общей цены контракта, в течение 5 рабочих дней со дня получения счета на оплату, окончательный расчет в течение 5 рабочих дней с даты подписания акта</t>
  </si>
  <si>
    <t>442</t>
  </si>
  <si>
    <t>Тахограф</t>
  </si>
  <si>
    <t>2369000660</t>
  </si>
  <si>
    <t>253235301409723530100100130018010244</t>
  </si>
  <si>
    <t xml:space="preserve">0818300019925000137 </t>
  </si>
  <si>
    <t>32353014097 25 000002</t>
  </si>
  <si>
    <t>0818300019925000137</t>
  </si>
  <si>
    <t xml:space="preserve"> 23.05.2025</t>
  </si>
  <si>
    <t>ОБЩЕСТВО С ОГРАНИЧЕННОЙ ОТВЕТСТВЕННОСТЬЮ ЧАСТНАЯ ОХРАННАЯ ОРГАНИЗАЦИЯ "ЛЕГИОН" (ООО ЧОО "ЛЕГИОН")</t>
  </si>
  <si>
    <t>не более 7 (семи) рабочих дней с даты подписания Заказчиком документа о приемке.</t>
  </si>
  <si>
    <t>25 32353014097235301001 0014 001 5629 244</t>
  </si>
  <si>
    <t>0818300019925000172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</si>
  <si>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</si>
  <si>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 xml:space="preserve"> 32353014097 25 000003</t>
  </si>
  <si>
    <t>ОБЩЕСТВО С ОГРАНИЧЕННОЙ ОТВЕТСТВЕННОСТЬЮ "ТИМАШЕВСКОЕ ПРЕДПРИЯТИЕ РОЗНИЧНОЙ ТОРГОВЛИ РАЙПО" (ООО "ТИМАШЕВСКОЕ ПРТ РАЙПО")</t>
  </si>
  <si>
    <t>бн от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</si>
</sst>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>
      <alignment horizontal="center" vertical="center" wrapText="1"/>
    </xf>
    <xf numFmtId="49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7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>
      <alignment horizontal="center" vertical="center" wrapText="1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60" xfId="0" applyFont="1" applyFill="1" applyBorder="1" applyAlignment="1" applyProtection="1">
      <alignment vertical="center"/>
      <protection locked="0"/>
    </xf>
    <xf numFmtId="0" fontId="17" fillId="18" borderId="60" xfId="0" applyFont="1" applyFill="1" applyBorder="1" applyAlignment="1" applyProtection="1">
      <alignment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1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vertical="center"/>
      <protection locked="0"/>
    </xf>
    <xf numFmtId="0" fontId="16" fillId="0" borderId="47" xfId="0" applyFont="1" applyBorder="1" applyAlignment="1" applyProtection="1">
      <alignment vertical="center"/>
      <protection locked="0"/>
    </xf>
    <xf numFmtId="0" fontId="16" fillId="0" borderId="50" xfId="0" applyFont="1" applyBorder="1" applyAlignment="1" applyProtection="1">
      <alignment vertical="center"/>
      <protection locked="0"/>
    </xf>
    <xf numFmtId="0" fontId="17" fillId="4" borderId="44" xfId="0" applyFont="1" applyFill="1" applyBorder="1" applyAlignment="1" applyProtection="1">
      <alignment vertical="center" wrapText="1"/>
      <protection locked="0"/>
    </xf>
    <xf numFmtId="0" fontId="17" fillId="4" borderId="47" xfId="0" applyFont="1" applyFill="1" applyBorder="1" applyAlignment="1" applyProtection="1">
      <alignment vertical="center" wrapText="1"/>
      <protection locked="0"/>
    </xf>
    <xf numFmtId="0" fontId="17" fillId="4" borderId="50" xfId="0" applyFont="1" applyFill="1" applyBorder="1" applyAlignment="1" applyProtection="1">
      <alignment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opLeftCell="A7" zoomScale="70" zoomScaleNormal="70" workbookViewId="0">
      <selection activeCell="M4" sqref="M4:N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57" t="s">
        <v>141</v>
      </c>
      <c r="B1" s="358"/>
      <c r="C1" s="358"/>
      <c r="D1" s="358"/>
      <c r="E1" s="357" t="s">
        <v>160</v>
      </c>
      <c r="F1" s="358"/>
      <c r="G1" s="358"/>
      <c r="H1" s="358"/>
      <c r="I1" s="358"/>
      <c r="J1" s="358"/>
      <c r="K1" s="358"/>
      <c r="L1" s="358"/>
      <c r="M1" s="358"/>
      <c r="N1" s="359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333" t="s">
        <v>25</v>
      </c>
      <c r="B4" s="334"/>
      <c r="C4" s="4">
        <v>13580298.449999999</v>
      </c>
      <c r="D4" s="5"/>
      <c r="E4" s="335" t="s">
        <v>140</v>
      </c>
      <c r="F4" s="336"/>
      <c r="G4" s="337"/>
      <c r="H4" s="338">
        <v>1053942.2</v>
      </c>
      <c r="I4" s="339"/>
      <c r="J4" s="340"/>
      <c r="K4" s="22"/>
      <c r="L4" s="99" t="s">
        <v>55</v>
      </c>
      <c r="M4" s="335">
        <v>7654713.4400000004</v>
      </c>
      <c r="N4" s="337"/>
    </row>
    <row r="5" spans="1:14" ht="30.75" customHeight="1" thickBot="1" x14ac:dyDescent="0.35">
      <c r="A5" s="333" t="s">
        <v>26</v>
      </c>
      <c r="B5" s="334"/>
      <c r="C5" s="6">
        <f>C4-G15+J15</f>
        <v>2839503.0899999985</v>
      </c>
      <c r="D5" s="5"/>
      <c r="E5" s="335" t="s">
        <v>53</v>
      </c>
      <c r="F5" s="336"/>
      <c r="G5" s="337"/>
      <c r="H5" s="325">
        <f>H4-G12</f>
        <v>232904.89</v>
      </c>
      <c r="I5" s="326"/>
      <c r="J5" s="327"/>
      <c r="K5" s="22"/>
      <c r="L5" s="99" t="s">
        <v>54</v>
      </c>
      <c r="M5" s="328">
        <f>M4-G13</f>
        <v>4221824.3500000006</v>
      </c>
      <c r="N5" s="329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341" t="s">
        <v>27</v>
      </c>
      <c r="B8" s="342"/>
      <c r="C8" s="343"/>
      <c r="D8" s="341" t="s">
        <v>28</v>
      </c>
      <c r="E8" s="342"/>
      <c r="F8" s="343"/>
      <c r="G8" s="344" t="s">
        <v>29</v>
      </c>
      <c r="H8" s="345"/>
      <c r="I8" s="346"/>
      <c r="J8" s="344" t="s">
        <v>142</v>
      </c>
      <c r="K8" s="345"/>
      <c r="L8" s="346"/>
      <c r="M8" s="341" t="s">
        <v>30</v>
      </c>
      <c r="N8" s="343"/>
    </row>
    <row r="9" spans="1:14" ht="41.25" customHeight="1" thickBot="1" x14ac:dyDescent="0.35">
      <c r="A9" s="347" t="s">
        <v>31</v>
      </c>
      <c r="B9" s="348"/>
      <c r="C9" s="349"/>
      <c r="D9" s="350">
        <f>'Состоявшиеся аукционы'!G2</f>
        <v>1806282</v>
      </c>
      <c r="E9" s="350"/>
      <c r="F9" s="350"/>
      <c r="G9" s="350">
        <f>'Состоявшиеся аукционы'!Q2</f>
        <v>1739602.8</v>
      </c>
      <c r="H9" s="350"/>
      <c r="I9" s="350"/>
      <c r="J9" s="330">
        <f>'Состоявшиеся аукционы'!AB2</f>
        <v>0</v>
      </c>
      <c r="K9" s="332"/>
      <c r="L9" s="331"/>
      <c r="M9" s="350">
        <f t="shared" ref="M9:M15" si="0">D9-G9</f>
        <v>66679.199999999953</v>
      </c>
      <c r="N9" s="350"/>
    </row>
    <row r="10" spans="1:14" ht="78.75" customHeight="1" thickBot="1" x14ac:dyDescent="0.35">
      <c r="A10" s="347" t="s">
        <v>49</v>
      </c>
      <c r="B10" s="348"/>
      <c r="C10" s="349"/>
      <c r="D10" s="350">
        <f>'Несостоявшиеся аукционы'!G2</f>
        <v>1599844.19</v>
      </c>
      <c r="E10" s="350"/>
      <c r="F10" s="350"/>
      <c r="G10" s="350">
        <f>'Несостоявшиеся аукционы'!Q2</f>
        <v>1599844.19</v>
      </c>
      <c r="H10" s="350"/>
      <c r="I10" s="350"/>
      <c r="J10" s="330">
        <f>'Несостоявшиеся аукционы'!AB2</f>
        <v>187011.6</v>
      </c>
      <c r="K10" s="332"/>
      <c r="L10" s="331"/>
      <c r="M10" s="350">
        <f t="shared" si="0"/>
        <v>0</v>
      </c>
      <c r="N10" s="350"/>
    </row>
    <row r="11" spans="1:14" ht="40.5" customHeight="1" thickBot="1" x14ac:dyDescent="0.35">
      <c r="A11" s="347" t="s">
        <v>83</v>
      </c>
      <c r="B11" s="348"/>
      <c r="C11" s="349"/>
      <c r="D11" s="330">
        <f>'Иные конкурентные закупки'!G2</f>
        <v>1098720</v>
      </c>
      <c r="E11" s="332"/>
      <c r="F11" s="331"/>
      <c r="G11" s="330">
        <f>'Иные конкурентные закупки'!Q2</f>
        <v>994080</v>
      </c>
      <c r="H11" s="332"/>
      <c r="I11" s="331"/>
      <c r="J11" s="330">
        <f>'Иные конкурентные закупки'!AB2</f>
        <v>0</v>
      </c>
      <c r="K11" s="332"/>
      <c r="L11" s="331"/>
      <c r="M11" s="330">
        <f t="shared" si="0"/>
        <v>104640</v>
      </c>
      <c r="N11" s="331"/>
    </row>
    <row r="12" spans="1:14" ht="54.75" customHeight="1" thickBot="1" x14ac:dyDescent="0.35">
      <c r="A12" s="354" t="s">
        <v>50</v>
      </c>
      <c r="B12" s="355"/>
      <c r="C12" s="356"/>
      <c r="D12" s="350">
        <f>'Ед. поставщик п.4 ч.1'!H2</f>
        <v>821037.30999999994</v>
      </c>
      <c r="E12" s="350"/>
      <c r="F12" s="350"/>
      <c r="G12" s="350">
        <f>D12</f>
        <v>821037.30999999994</v>
      </c>
      <c r="H12" s="350"/>
      <c r="I12" s="350"/>
      <c r="J12" s="330">
        <f>'Ед. поставщик п.4 ч.1'!V2</f>
        <v>0</v>
      </c>
      <c r="K12" s="332"/>
      <c r="L12" s="331"/>
      <c r="M12" s="350">
        <f t="shared" si="0"/>
        <v>0</v>
      </c>
      <c r="N12" s="350"/>
    </row>
    <row r="13" spans="1:14" ht="45.75" customHeight="1" thickBot="1" x14ac:dyDescent="0.35">
      <c r="A13" s="354" t="s">
        <v>51</v>
      </c>
      <c r="B13" s="355"/>
      <c r="C13" s="356"/>
      <c r="D13" s="350">
        <f>'Ед. поставщик п.5 ч.1'!H2</f>
        <v>3432889.09</v>
      </c>
      <c r="E13" s="350"/>
      <c r="F13" s="350"/>
      <c r="G13" s="350">
        <f>D13</f>
        <v>3432889.09</v>
      </c>
      <c r="H13" s="350"/>
      <c r="I13" s="350"/>
      <c r="J13" s="330">
        <f>'Ед. поставщик п.5 ч.1'!V2</f>
        <v>0</v>
      </c>
      <c r="K13" s="332"/>
      <c r="L13" s="331"/>
      <c r="M13" s="350">
        <f t="shared" si="0"/>
        <v>0</v>
      </c>
      <c r="N13" s="350"/>
    </row>
    <row r="14" spans="1:14" ht="45.75" customHeight="1" thickBot="1" x14ac:dyDescent="0.35">
      <c r="A14" s="372" t="s">
        <v>52</v>
      </c>
      <c r="B14" s="373"/>
      <c r="C14" s="374"/>
      <c r="D14" s="330">
        <f>'Ед.поставщик за искл. п.4,5 ч.1'!G2</f>
        <v>2340353.5699999998</v>
      </c>
      <c r="E14" s="332"/>
      <c r="F14" s="331"/>
      <c r="G14" s="330">
        <f>D14</f>
        <v>2340353.5699999998</v>
      </c>
      <c r="H14" s="332"/>
      <c r="I14" s="331"/>
      <c r="J14" s="330">
        <f>'Ед.поставщик за искл. п.4,5 ч.1'!T2</f>
        <v>0</v>
      </c>
      <c r="K14" s="332"/>
      <c r="L14" s="331"/>
      <c r="M14" s="350">
        <f t="shared" si="0"/>
        <v>0</v>
      </c>
      <c r="N14" s="350"/>
    </row>
    <row r="15" spans="1:14" ht="21.6" thickBot="1" x14ac:dyDescent="0.35">
      <c r="A15" s="351" t="s">
        <v>143</v>
      </c>
      <c r="B15" s="352"/>
      <c r="C15" s="353"/>
      <c r="D15" s="350">
        <f>SUM(D9:D14)</f>
        <v>11099126.16</v>
      </c>
      <c r="E15" s="350"/>
      <c r="F15" s="350"/>
      <c r="G15" s="330">
        <f>SUM(G9:G14)</f>
        <v>10927806.960000001</v>
      </c>
      <c r="H15" s="332"/>
      <c r="I15" s="331"/>
      <c r="J15" s="330">
        <f>SUM(J9:J14)</f>
        <v>187011.6</v>
      </c>
      <c r="K15" s="332"/>
      <c r="L15" s="331"/>
      <c r="M15" s="350">
        <f t="shared" si="0"/>
        <v>171319.19999999925</v>
      </c>
      <c r="N15" s="350"/>
    </row>
    <row r="17" spans="1:12" x14ac:dyDescent="0.3">
      <c r="K17" s="136"/>
    </row>
    <row r="18" spans="1:12" ht="15" thickBot="1" x14ac:dyDescent="0.35">
      <c r="K18" s="136"/>
    </row>
    <row r="19" spans="1:12" ht="23.25" customHeight="1" x14ac:dyDescent="0.3">
      <c r="A19" s="360" t="s">
        <v>35</v>
      </c>
      <c r="B19" s="361"/>
      <c r="C19" s="362"/>
      <c r="D19" s="36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6163524.0500000007</v>
      </c>
      <c r="E19" s="367"/>
      <c r="F19" s="367"/>
      <c r="G19" s="368"/>
      <c r="I19" s="20"/>
      <c r="J19" s="20"/>
      <c r="K19" s="20"/>
      <c r="L19" s="20"/>
    </row>
    <row r="20" spans="1:12" ht="24" customHeight="1" thickBot="1" x14ac:dyDescent="0.35">
      <c r="A20" s="363"/>
      <c r="B20" s="364"/>
      <c r="C20" s="365"/>
      <c r="D20" s="369"/>
      <c r="E20" s="370"/>
      <c r="F20" s="370"/>
      <c r="G20" s="371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</sheetPr>
  <dimension ref="A1:X53"/>
  <sheetViews>
    <sheetView showGridLines="0" zoomScale="60" zoomScaleNormal="60" workbookViewId="0">
      <pane ySplit="8" topLeftCell="A45" activePane="bottomLeft" state="frozen"/>
      <selection activeCell="I1" sqref="I1"/>
      <selection pane="bottomLeft" activeCell="I45" sqref="I45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821037.30999999994</v>
      </c>
      <c r="K2" s="427"/>
      <c r="L2" s="427"/>
      <c r="M2" s="427"/>
      <c r="N2" s="428" t="s">
        <v>137</v>
      </c>
      <c r="O2" s="430"/>
      <c r="P2" s="87">
        <f>SUM(P9:P9999)</f>
        <v>632447.82999999996</v>
      </c>
      <c r="R2" s="86"/>
      <c r="S2" s="428" t="s">
        <v>45</v>
      </c>
      <c r="T2" s="429"/>
      <c r="U2" s="430"/>
      <c r="V2" s="88">
        <f>SUM(V9:V9999)</f>
        <v>0</v>
      </c>
    </row>
    <row r="3" spans="1:24" x14ac:dyDescent="0.3">
      <c r="A3" s="427"/>
      <c r="B3" s="427"/>
      <c r="C3" s="427"/>
      <c r="D3" s="427"/>
      <c r="E3" s="427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431"/>
      <c r="K4" s="431"/>
      <c r="M4" s="431"/>
      <c r="N4" s="431"/>
      <c r="O4" s="431"/>
      <c r="P4" s="431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customHeight="1" x14ac:dyDescent="0.3">
      <c r="A9" s="407">
        <v>1</v>
      </c>
      <c r="B9" s="392" t="s">
        <v>56</v>
      </c>
      <c r="C9" s="392" t="s">
        <v>146</v>
      </c>
      <c r="D9" s="392" t="s">
        <v>147</v>
      </c>
      <c r="E9" s="395" t="s">
        <v>211</v>
      </c>
      <c r="F9" s="398">
        <v>45680</v>
      </c>
      <c r="G9" s="392" t="s">
        <v>212</v>
      </c>
      <c r="H9" s="401">
        <v>15000</v>
      </c>
      <c r="I9" s="404">
        <f>IF(X9 = 23, H9 + SUM(S9:S13) - SUM(T9:T13) - SUM(P9:P13) - V9,0)</f>
        <v>13050</v>
      </c>
      <c r="J9" s="392" t="s">
        <v>213</v>
      </c>
      <c r="K9" s="392" t="s">
        <v>214</v>
      </c>
      <c r="L9" s="392" t="s">
        <v>146</v>
      </c>
      <c r="M9" s="392"/>
      <c r="N9" s="259">
        <v>45688</v>
      </c>
      <c r="O9" s="398" t="s">
        <v>183</v>
      </c>
      <c r="P9" s="244">
        <v>390</v>
      </c>
      <c r="Q9" s="245">
        <v>45706</v>
      </c>
      <c r="R9" s="246"/>
      <c r="S9" s="244"/>
      <c r="T9" s="244"/>
      <c r="U9" s="401"/>
      <c r="V9" s="389"/>
      <c r="W9" s="410"/>
      <c r="X9" s="105">
        <v>23</v>
      </c>
    </row>
    <row r="10" spans="1:24" s="169" customFormat="1" x14ac:dyDescent="0.3">
      <c r="A10" s="408"/>
      <c r="B10" s="393"/>
      <c r="C10" s="393"/>
      <c r="D10" s="393"/>
      <c r="E10" s="396"/>
      <c r="F10" s="399"/>
      <c r="G10" s="393"/>
      <c r="H10" s="402"/>
      <c r="I10" s="405"/>
      <c r="J10" s="393"/>
      <c r="K10" s="393"/>
      <c r="L10" s="393"/>
      <c r="M10" s="393"/>
      <c r="N10" s="260">
        <v>45716</v>
      </c>
      <c r="O10" s="399"/>
      <c r="P10" s="247">
        <v>390</v>
      </c>
      <c r="Q10" s="248">
        <v>45729</v>
      </c>
      <c r="R10" s="249"/>
      <c r="S10" s="247"/>
      <c r="T10" s="247"/>
      <c r="U10" s="402"/>
      <c r="V10" s="390"/>
      <c r="W10" s="411"/>
      <c r="X10" s="169">
        <v>23</v>
      </c>
    </row>
    <row r="11" spans="1:24" s="207" customFormat="1" x14ac:dyDescent="0.3">
      <c r="A11" s="408"/>
      <c r="B11" s="393"/>
      <c r="C11" s="393"/>
      <c r="D11" s="393"/>
      <c r="E11" s="396"/>
      <c r="F11" s="399"/>
      <c r="G11" s="393"/>
      <c r="H11" s="402"/>
      <c r="I11" s="405"/>
      <c r="J11" s="393"/>
      <c r="K11" s="393"/>
      <c r="L11" s="393"/>
      <c r="M11" s="393"/>
      <c r="N11" s="260">
        <v>45747</v>
      </c>
      <c r="O11" s="399"/>
      <c r="P11" s="247">
        <v>390</v>
      </c>
      <c r="Q11" s="248">
        <v>45757</v>
      </c>
      <c r="R11" s="249"/>
      <c r="S11" s="247"/>
      <c r="T11" s="247"/>
      <c r="U11" s="402"/>
      <c r="V11" s="390"/>
      <c r="W11" s="411"/>
      <c r="X11" s="207">
        <v>23</v>
      </c>
    </row>
    <row r="12" spans="1:24" s="232" customFormat="1" x14ac:dyDescent="0.3">
      <c r="A12" s="408"/>
      <c r="B12" s="393"/>
      <c r="C12" s="393"/>
      <c r="D12" s="393"/>
      <c r="E12" s="396"/>
      <c r="F12" s="399"/>
      <c r="G12" s="393"/>
      <c r="H12" s="402"/>
      <c r="I12" s="405"/>
      <c r="J12" s="393"/>
      <c r="K12" s="393"/>
      <c r="L12" s="393"/>
      <c r="M12" s="393"/>
      <c r="N12" s="260">
        <v>45777</v>
      </c>
      <c r="O12" s="399"/>
      <c r="P12" s="247">
        <v>390</v>
      </c>
      <c r="Q12" s="248">
        <v>45797</v>
      </c>
      <c r="R12" s="249"/>
      <c r="S12" s="247"/>
      <c r="T12" s="247"/>
      <c r="U12" s="402"/>
      <c r="V12" s="390"/>
      <c r="W12" s="411"/>
      <c r="X12" s="232">
        <v>23</v>
      </c>
    </row>
    <row r="13" spans="1:24" s="232" customFormat="1" x14ac:dyDescent="0.3">
      <c r="A13" s="409"/>
      <c r="B13" s="394"/>
      <c r="C13" s="394"/>
      <c r="D13" s="394"/>
      <c r="E13" s="397"/>
      <c r="F13" s="400"/>
      <c r="G13" s="394"/>
      <c r="H13" s="403"/>
      <c r="I13" s="406"/>
      <c r="J13" s="394"/>
      <c r="K13" s="394"/>
      <c r="L13" s="394"/>
      <c r="M13" s="394"/>
      <c r="N13" s="261">
        <v>45808</v>
      </c>
      <c r="O13" s="400"/>
      <c r="P13" s="255">
        <v>390</v>
      </c>
      <c r="Q13" s="256">
        <v>45818</v>
      </c>
      <c r="R13" s="257"/>
      <c r="S13" s="255"/>
      <c r="T13" s="255"/>
      <c r="U13" s="403"/>
      <c r="V13" s="391"/>
      <c r="W13" s="412"/>
      <c r="X13" s="232">
        <v>23</v>
      </c>
    </row>
    <row r="14" spans="1:24" s="105" customFormat="1" ht="144" x14ac:dyDescent="0.3">
      <c r="A14" s="130">
        <v>2</v>
      </c>
      <c r="B14" s="131" t="s">
        <v>56</v>
      </c>
      <c r="C14" s="131" t="s">
        <v>146</v>
      </c>
      <c r="D14" s="131" t="s">
        <v>147</v>
      </c>
      <c r="E14" s="156" t="s">
        <v>215</v>
      </c>
      <c r="F14" s="158">
        <v>45702</v>
      </c>
      <c r="G14" s="144" t="s">
        <v>216</v>
      </c>
      <c r="H14" s="132">
        <v>28904.9</v>
      </c>
      <c r="I14" s="133">
        <f>IF(X14 = 35, H14 + SUM(S14:S14) - SUM(T14:T14) - SUM(P14:P14) - V14,0)</f>
        <v>0</v>
      </c>
      <c r="J14" s="131" t="s">
        <v>217</v>
      </c>
      <c r="K14" s="144" t="s">
        <v>218</v>
      </c>
      <c r="L14" s="131" t="s">
        <v>146</v>
      </c>
      <c r="M14" s="131"/>
      <c r="N14" s="158">
        <v>45720</v>
      </c>
      <c r="O14" s="158" t="s">
        <v>183</v>
      </c>
      <c r="P14" s="132">
        <v>28904.9</v>
      </c>
      <c r="Q14" s="134">
        <v>45733</v>
      </c>
      <c r="R14" s="131"/>
      <c r="S14" s="132"/>
      <c r="T14" s="132"/>
      <c r="U14" s="132"/>
      <c r="V14" s="157"/>
      <c r="W14" s="153"/>
      <c r="X14" s="105">
        <v>35</v>
      </c>
    </row>
    <row r="15" spans="1:24" s="105" customFormat="1" ht="144" x14ac:dyDescent="0.3">
      <c r="A15" s="130">
        <v>3</v>
      </c>
      <c r="B15" s="131" t="s">
        <v>56</v>
      </c>
      <c r="C15" s="131" t="s">
        <v>146</v>
      </c>
      <c r="D15" s="131" t="s">
        <v>147</v>
      </c>
      <c r="E15" s="156">
        <v>9</v>
      </c>
      <c r="F15" s="158">
        <v>45713</v>
      </c>
      <c r="G15" s="131" t="s">
        <v>226</v>
      </c>
      <c r="H15" s="132">
        <v>22668</v>
      </c>
      <c r="I15" s="133">
        <f>IF(X15 = 37, H15 + SUM(S15:S15) - SUM(T15:T15) - SUM(P15:P15) - V15,0)</f>
        <v>0</v>
      </c>
      <c r="J15" s="131" t="s">
        <v>227</v>
      </c>
      <c r="K15" s="131" t="s">
        <v>228</v>
      </c>
      <c r="L15" s="131" t="s">
        <v>146</v>
      </c>
      <c r="M15" s="131"/>
      <c r="N15" s="158">
        <v>45713</v>
      </c>
      <c r="O15" s="158" t="s">
        <v>183</v>
      </c>
      <c r="P15" s="132">
        <v>22668</v>
      </c>
      <c r="Q15" s="134">
        <v>45715</v>
      </c>
      <c r="R15" s="131"/>
      <c r="S15" s="132"/>
      <c r="T15" s="132"/>
      <c r="U15" s="132"/>
      <c r="V15" s="157"/>
      <c r="W15" s="153"/>
      <c r="X15" s="105">
        <v>37</v>
      </c>
    </row>
    <row r="16" spans="1:24" s="105" customFormat="1" ht="144" x14ac:dyDescent="0.3">
      <c r="A16" s="170">
        <v>4</v>
      </c>
      <c r="B16" s="171" t="s">
        <v>56</v>
      </c>
      <c r="C16" s="171" t="s">
        <v>146</v>
      </c>
      <c r="D16" s="171" t="s">
        <v>147</v>
      </c>
      <c r="E16" s="189">
        <v>10</v>
      </c>
      <c r="F16" s="179">
        <v>45708</v>
      </c>
      <c r="G16" s="171" t="s">
        <v>232</v>
      </c>
      <c r="H16" s="174">
        <v>66750</v>
      </c>
      <c r="I16" s="175">
        <f>IF(X16 = 40, H16 + SUM(S16:S16) - SUM(T16:T16) - SUM(P16:P16) - V16,0)</f>
        <v>0</v>
      </c>
      <c r="J16" s="171" t="s">
        <v>233</v>
      </c>
      <c r="K16" s="171" t="s">
        <v>210</v>
      </c>
      <c r="L16" s="171" t="s">
        <v>146</v>
      </c>
      <c r="M16" s="171"/>
      <c r="N16" s="179">
        <v>45713</v>
      </c>
      <c r="O16" s="179" t="s">
        <v>183</v>
      </c>
      <c r="P16" s="174">
        <v>66750</v>
      </c>
      <c r="Q16" s="173">
        <v>45715</v>
      </c>
      <c r="R16" s="171"/>
      <c r="S16" s="174"/>
      <c r="T16" s="174"/>
      <c r="U16" s="174"/>
      <c r="V16" s="190"/>
      <c r="W16" s="168"/>
      <c r="X16" s="105">
        <v>40</v>
      </c>
    </row>
    <row r="17" spans="1:24" s="105" customFormat="1" ht="144" customHeight="1" x14ac:dyDescent="0.3">
      <c r="A17" s="407">
        <v>5</v>
      </c>
      <c r="B17" s="392" t="s">
        <v>56</v>
      </c>
      <c r="C17" s="392" t="s">
        <v>146</v>
      </c>
      <c r="D17" s="392" t="s">
        <v>147</v>
      </c>
      <c r="E17" s="395">
        <v>166</v>
      </c>
      <c r="F17" s="398">
        <v>45734</v>
      </c>
      <c r="G17" s="392" t="s">
        <v>239</v>
      </c>
      <c r="H17" s="401">
        <v>15632.75</v>
      </c>
      <c r="I17" s="404">
        <f>IF(X17 = 41, H17 + SUM(S17:S24) - SUM(T17:T24) - SUM(P17:P24) - V17,0)</f>
        <v>7473.4800000000005</v>
      </c>
      <c r="J17" s="392" t="s">
        <v>240</v>
      </c>
      <c r="K17" s="392" t="s">
        <v>241</v>
      </c>
      <c r="L17" s="392" t="s">
        <v>146</v>
      </c>
      <c r="M17" s="392"/>
      <c r="N17" s="259">
        <v>45742</v>
      </c>
      <c r="O17" s="398" t="s">
        <v>183</v>
      </c>
      <c r="P17" s="244">
        <v>1317.73</v>
      </c>
      <c r="Q17" s="245">
        <v>45742</v>
      </c>
      <c r="R17" s="246"/>
      <c r="S17" s="244"/>
      <c r="T17" s="244"/>
      <c r="U17" s="401"/>
      <c r="V17" s="389"/>
      <c r="W17" s="410"/>
      <c r="X17" s="105">
        <v>41</v>
      </c>
    </row>
    <row r="18" spans="1:24" s="169" customFormat="1" x14ac:dyDescent="0.3">
      <c r="A18" s="408"/>
      <c r="B18" s="393"/>
      <c r="C18" s="393"/>
      <c r="D18" s="393"/>
      <c r="E18" s="396"/>
      <c r="F18" s="399"/>
      <c r="G18" s="393"/>
      <c r="H18" s="402"/>
      <c r="I18" s="405"/>
      <c r="J18" s="393"/>
      <c r="K18" s="393"/>
      <c r="L18" s="393"/>
      <c r="M18" s="393"/>
      <c r="N18" s="260">
        <v>45742</v>
      </c>
      <c r="O18" s="399"/>
      <c r="P18" s="247">
        <v>337.44</v>
      </c>
      <c r="Q18" s="248">
        <v>45742</v>
      </c>
      <c r="R18" s="249"/>
      <c r="S18" s="247"/>
      <c r="T18" s="247"/>
      <c r="U18" s="402"/>
      <c r="V18" s="390"/>
      <c r="W18" s="411"/>
      <c r="X18" s="169">
        <v>41</v>
      </c>
    </row>
    <row r="19" spans="1:24" s="169" customFormat="1" x14ac:dyDescent="0.3">
      <c r="A19" s="408"/>
      <c r="B19" s="393"/>
      <c r="C19" s="393"/>
      <c r="D19" s="393"/>
      <c r="E19" s="396"/>
      <c r="F19" s="399"/>
      <c r="G19" s="393"/>
      <c r="H19" s="402"/>
      <c r="I19" s="405"/>
      <c r="J19" s="393"/>
      <c r="K19" s="393"/>
      <c r="L19" s="393"/>
      <c r="M19" s="393"/>
      <c r="N19" s="264">
        <v>45742</v>
      </c>
      <c r="O19" s="399"/>
      <c r="P19" s="247">
        <v>1136.08</v>
      </c>
      <c r="Q19" s="262">
        <v>45742</v>
      </c>
      <c r="R19" s="249"/>
      <c r="S19" s="247"/>
      <c r="T19" s="247"/>
      <c r="U19" s="402"/>
      <c r="V19" s="390"/>
      <c r="W19" s="411"/>
      <c r="X19" s="169">
        <v>41</v>
      </c>
    </row>
    <row r="20" spans="1:24" s="207" customFormat="1" x14ac:dyDescent="0.3">
      <c r="A20" s="408"/>
      <c r="B20" s="393"/>
      <c r="C20" s="393"/>
      <c r="D20" s="393"/>
      <c r="E20" s="396"/>
      <c r="F20" s="399"/>
      <c r="G20" s="393"/>
      <c r="H20" s="402"/>
      <c r="I20" s="405"/>
      <c r="J20" s="393"/>
      <c r="K20" s="393"/>
      <c r="L20" s="393"/>
      <c r="M20" s="393"/>
      <c r="N20" s="260">
        <v>45747</v>
      </c>
      <c r="O20" s="399"/>
      <c r="P20" s="247">
        <v>1177.33</v>
      </c>
      <c r="Q20" s="248">
        <v>45756</v>
      </c>
      <c r="R20" s="249"/>
      <c r="S20" s="247"/>
      <c r="T20" s="247"/>
      <c r="U20" s="402"/>
      <c r="V20" s="390"/>
      <c r="W20" s="411"/>
      <c r="X20" s="207">
        <v>41</v>
      </c>
    </row>
    <row r="21" spans="1:24" s="232" customFormat="1" x14ac:dyDescent="0.3">
      <c r="A21" s="408"/>
      <c r="B21" s="393"/>
      <c r="C21" s="393"/>
      <c r="D21" s="393"/>
      <c r="E21" s="396"/>
      <c r="F21" s="399"/>
      <c r="G21" s="393"/>
      <c r="H21" s="402"/>
      <c r="I21" s="405"/>
      <c r="J21" s="393"/>
      <c r="K21" s="393"/>
      <c r="L21" s="393"/>
      <c r="M21" s="393"/>
      <c r="N21" s="260">
        <v>45777</v>
      </c>
      <c r="O21" s="399"/>
      <c r="P21" s="247">
        <v>38.81</v>
      </c>
      <c r="Q21" s="248">
        <v>45789</v>
      </c>
      <c r="R21" s="249"/>
      <c r="S21" s="247"/>
      <c r="T21" s="247"/>
      <c r="U21" s="402"/>
      <c r="V21" s="390"/>
      <c r="W21" s="411"/>
      <c r="X21" s="232">
        <v>41</v>
      </c>
    </row>
    <row r="22" spans="1:24" s="232" customFormat="1" x14ac:dyDescent="0.3">
      <c r="A22" s="408"/>
      <c r="B22" s="393"/>
      <c r="C22" s="393"/>
      <c r="D22" s="393"/>
      <c r="E22" s="396"/>
      <c r="F22" s="399"/>
      <c r="G22" s="393"/>
      <c r="H22" s="402"/>
      <c r="I22" s="405"/>
      <c r="J22" s="393"/>
      <c r="K22" s="393"/>
      <c r="L22" s="393"/>
      <c r="M22" s="393"/>
      <c r="N22" s="260">
        <v>45777</v>
      </c>
      <c r="O22" s="399"/>
      <c r="P22" s="247">
        <v>1124.69</v>
      </c>
      <c r="Q22" s="248">
        <v>45789</v>
      </c>
      <c r="R22" s="249"/>
      <c r="S22" s="247"/>
      <c r="T22" s="247"/>
      <c r="U22" s="402"/>
      <c r="V22" s="390"/>
      <c r="W22" s="411"/>
      <c r="X22" s="232">
        <v>41</v>
      </c>
    </row>
    <row r="23" spans="1:24" s="232" customFormat="1" x14ac:dyDescent="0.3">
      <c r="A23" s="408"/>
      <c r="B23" s="393"/>
      <c r="C23" s="393"/>
      <c r="D23" s="393"/>
      <c r="E23" s="396"/>
      <c r="F23" s="399"/>
      <c r="G23" s="393"/>
      <c r="H23" s="402"/>
      <c r="I23" s="405"/>
      <c r="J23" s="393"/>
      <c r="K23" s="393"/>
      <c r="L23" s="393"/>
      <c r="M23" s="393"/>
      <c r="N23" s="260">
        <v>45808</v>
      </c>
      <c r="O23" s="399"/>
      <c r="P23" s="247">
        <v>1408.56</v>
      </c>
      <c r="Q23" s="248">
        <v>45812</v>
      </c>
      <c r="R23" s="249"/>
      <c r="S23" s="247"/>
      <c r="T23" s="247"/>
      <c r="U23" s="402"/>
      <c r="V23" s="390"/>
      <c r="W23" s="411"/>
      <c r="X23" s="232">
        <v>41</v>
      </c>
    </row>
    <row r="24" spans="1:24" s="232" customFormat="1" x14ac:dyDescent="0.3">
      <c r="A24" s="409"/>
      <c r="B24" s="394"/>
      <c r="C24" s="394"/>
      <c r="D24" s="394"/>
      <c r="E24" s="397"/>
      <c r="F24" s="400"/>
      <c r="G24" s="394"/>
      <c r="H24" s="403"/>
      <c r="I24" s="406"/>
      <c r="J24" s="394"/>
      <c r="K24" s="394"/>
      <c r="L24" s="394"/>
      <c r="M24" s="394"/>
      <c r="N24" s="261">
        <v>45808</v>
      </c>
      <c r="O24" s="400"/>
      <c r="P24" s="255">
        <v>1618.63</v>
      </c>
      <c r="Q24" s="256">
        <v>45812</v>
      </c>
      <c r="R24" s="257"/>
      <c r="S24" s="255"/>
      <c r="T24" s="255"/>
      <c r="U24" s="403"/>
      <c r="V24" s="391"/>
      <c r="W24" s="412"/>
      <c r="X24" s="232">
        <v>41</v>
      </c>
    </row>
    <row r="25" spans="1:24" s="105" customFormat="1" ht="144" x14ac:dyDescent="0.3">
      <c r="A25" s="170">
        <v>6</v>
      </c>
      <c r="B25" s="171" t="s">
        <v>56</v>
      </c>
      <c r="C25" s="171" t="s">
        <v>146</v>
      </c>
      <c r="D25" s="171" t="s">
        <v>147</v>
      </c>
      <c r="E25" s="172">
        <v>45735</v>
      </c>
      <c r="F25" s="179">
        <v>45735</v>
      </c>
      <c r="G25" s="171" t="s">
        <v>242</v>
      </c>
      <c r="H25" s="174">
        <v>10935</v>
      </c>
      <c r="I25" s="175">
        <f>IF(X25 = 42, H25 + SUM(S25:S25) - SUM(T25:T25) - SUM(P25:P25) - V25,0)</f>
        <v>0</v>
      </c>
      <c r="J25" s="171" t="s">
        <v>243</v>
      </c>
      <c r="K25" s="171" t="s">
        <v>244</v>
      </c>
      <c r="L25" s="171" t="s">
        <v>146</v>
      </c>
      <c r="M25" s="171"/>
      <c r="N25" s="179">
        <v>45736</v>
      </c>
      <c r="O25" s="179" t="s">
        <v>183</v>
      </c>
      <c r="P25" s="174">
        <v>10935</v>
      </c>
      <c r="Q25" s="173">
        <v>45736</v>
      </c>
      <c r="R25" s="171"/>
      <c r="S25" s="174"/>
      <c r="T25" s="174"/>
      <c r="U25" s="174"/>
      <c r="V25" s="190"/>
      <c r="W25" s="168"/>
      <c r="X25" s="105">
        <v>42</v>
      </c>
    </row>
    <row r="26" spans="1:24" s="105" customFormat="1" ht="144" x14ac:dyDescent="0.3">
      <c r="A26" s="193">
        <v>7</v>
      </c>
      <c r="B26" s="201" t="s">
        <v>56</v>
      </c>
      <c r="C26" s="201" t="s">
        <v>146</v>
      </c>
      <c r="D26" s="201" t="s">
        <v>147</v>
      </c>
      <c r="E26" s="200" t="s">
        <v>251</v>
      </c>
      <c r="F26" s="206">
        <v>45744</v>
      </c>
      <c r="G26" s="201" t="s">
        <v>252</v>
      </c>
      <c r="H26" s="195">
        <v>8000</v>
      </c>
      <c r="I26" s="196">
        <f>IF(X26 = 43, H26 + SUM(S26:S26) - SUM(T26:T26) - SUM(P26:P26) - V26,0)</f>
        <v>0</v>
      </c>
      <c r="J26" s="201" t="s">
        <v>253</v>
      </c>
      <c r="K26" s="201" t="s">
        <v>231</v>
      </c>
      <c r="L26" s="201" t="s">
        <v>146</v>
      </c>
      <c r="M26" s="201"/>
      <c r="N26" s="206">
        <v>45814</v>
      </c>
      <c r="O26" s="206" t="s">
        <v>183</v>
      </c>
      <c r="P26" s="195">
        <v>8000</v>
      </c>
      <c r="Q26" s="194">
        <v>45818</v>
      </c>
      <c r="R26" s="201"/>
      <c r="S26" s="195"/>
      <c r="T26" s="195"/>
      <c r="U26" s="195"/>
      <c r="V26" s="205"/>
      <c r="W26" s="202"/>
      <c r="X26" s="105">
        <v>43</v>
      </c>
    </row>
    <row r="27" spans="1:24" s="105" customFormat="1" ht="144" x14ac:dyDescent="0.3">
      <c r="A27" s="193">
        <v>8</v>
      </c>
      <c r="B27" s="201" t="s">
        <v>56</v>
      </c>
      <c r="C27" s="201" t="s">
        <v>146</v>
      </c>
      <c r="D27" s="201" t="s">
        <v>147</v>
      </c>
      <c r="E27" s="200" t="s">
        <v>254</v>
      </c>
      <c r="F27" s="206">
        <v>45749</v>
      </c>
      <c r="G27" s="201" t="s">
        <v>255</v>
      </c>
      <c r="H27" s="195">
        <v>8800</v>
      </c>
      <c r="I27" s="196">
        <f>IF(X27 = 44, H27 + SUM(S27:S27) - SUM(T27:T27) - SUM(P27:P27) - V27,0)</f>
        <v>0</v>
      </c>
      <c r="J27" s="201" t="s">
        <v>256</v>
      </c>
      <c r="K27" s="201" t="s">
        <v>257</v>
      </c>
      <c r="L27" s="201" t="s">
        <v>146</v>
      </c>
      <c r="M27" s="201"/>
      <c r="N27" s="206">
        <v>45749</v>
      </c>
      <c r="O27" s="206" t="s">
        <v>183</v>
      </c>
      <c r="P27" s="195">
        <v>8800</v>
      </c>
      <c r="Q27" s="194">
        <v>45750</v>
      </c>
      <c r="R27" s="201"/>
      <c r="S27" s="195"/>
      <c r="T27" s="195"/>
      <c r="U27" s="195"/>
      <c r="V27" s="205"/>
      <c r="W27" s="202"/>
      <c r="X27" s="105">
        <v>44</v>
      </c>
    </row>
    <row r="28" spans="1:24" s="105" customFormat="1" ht="144" customHeight="1" x14ac:dyDescent="0.3">
      <c r="A28" s="423">
        <v>9</v>
      </c>
      <c r="B28" s="415" t="s">
        <v>56</v>
      </c>
      <c r="C28" s="415" t="s">
        <v>146</v>
      </c>
      <c r="D28" s="415" t="s">
        <v>147</v>
      </c>
      <c r="E28" s="417" t="s">
        <v>261</v>
      </c>
      <c r="F28" s="417">
        <v>45755</v>
      </c>
      <c r="G28" s="415" t="s">
        <v>262</v>
      </c>
      <c r="H28" s="419">
        <v>5500</v>
      </c>
      <c r="I28" s="421">
        <f>IF(X28 = 45, H28 + SUM(S28:S29) - SUM(T28:T29) - SUM(P28:P29) - V28,0)</f>
        <v>0</v>
      </c>
      <c r="J28" s="415" t="s">
        <v>263</v>
      </c>
      <c r="K28" s="415" t="s">
        <v>264</v>
      </c>
      <c r="L28" s="415" t="s">
        <v>146</v>
      </c>
      <c r="M28" s="415"/>
      <c r="N28" s="218"/>
      <c r="O28" s="417" t="s">
        <v>183</v>
      </c>
      <c r="P28" s="209">
        <v>1650</v>
      </c>
      <c r="Q28" s="210">
        <v>45757</v>
      </c>
      <c r="R28" s="211"/>
      <c r="S28" s="209"/>
      <c r="T28" s="209"/>
      <c r="U28" s="419"/>
      <c r="V28" s="425"/>
      <c r="W28" s="413"/>
      <c r="X28" s="105">
        <v>45</v>
      </c>
    </row>
    <row r="29" spans="1:24" s="207" customFormat="1" x14ac:dyDescent="0.3">
      <c r="A29" s="424"/>
      <c r="B29" s="416"/>
      <c r="C29" s="416"/>
      <c r="D29" s="416"/>
      <c r="E29" s="418"/>
      <c r="F29" s="418"/>
      <c r="G29" s="416"/>
      <c r="H29" s="420"/>
      <c r="I29" s="422"/>
      <c r="J29" s="416"/>
      <c r="K29" s="416"/>
      <c r="L29" s="416"/>
      <c r="M29" s="416"/>
      <c r="N29" s="220">
        <v>45758</v>
      </c>
      <c r="O29" s="418"/>
      <c r="P29" s="215">
        <v>3850</v>
      </c>
      <c r="Q29" s="216">
        <v>45761</v>
      </c>
      <c r="R29" s="217"/>
      <c r="S29" s="215"/>
      <c r="T29" s="215"/>
      <c r="U29" s="420"/>
      <c r="V29" s="426"/>
      <c r="W29" s="414"/>
      <c r="X29" s="207">
        <v>45</v>
      </c>
    </row>
    <row r="30" spans="1:24" s="105" customFormat="1" ht="144" x14ac:dyDescent="0.3">
      <c r="A30" s="193">
        <v>10</v>
      </c>
      <c r="B30" s="201" t="s">
        <v>56</v>
      </c>
      <c r="C30" s="201" t="s">
        <v>146</v>
      </c>
      <c r="D30" s="201" t="s">
        <v>147</v>
      </c>
      <c r="E30" s="201">
        <v>22</v>
      </c>
      <c r="F30" s="206">
        <v>45754</v>
      </c>
      <c r="G30" s="201" t="s">
        <v>268</v>
      </c>
      <c r="H30" s="195">
        <v>13473.82</v>
      </c>
      <c r="I30" s="196">
        <f>IF(X30 = 46, H30 + SUM(S30:S30) - SUM(T30:T30) - SUM(P30:P30) - V30,0)</f>
        <v>0</v>
      </c>
      <c r="J30" s="201" t="s">
        <v>267</v>
      </c>
      <c r="K30" s="201" t="s">
        <v>266</v>
      </c>
      <c r="L30" s="201" t="s">
        <v>146</v>
      </c>
      <c r="M30" s="201"/>
      <c r="N30" s="206">
        <v>45756</v>
      </c>
      <c r="O30" s="206" t="s">
        <v>265</v>
      </c>
      <c r="P30" s="195">
        <v>13473.82</v>
      </c>
      <c r="Q30" s="194">
        <v>45757</v>
      </c>
      <c r="R30" s="201"/>
      <c r="S30" s="195"/>
      <c r="T30" s="195"/>
      <c r="U30" s="195"/>
      <c r="V30" s="205"/>
      <c r="W30" s="202"/>
      <c r="X30" s="105">
        <v>46</v>
      </c>
    </row>
    <row r="31" spans="1:24" s="105" customFormat="1" ht="144" x14ac:dyDescent="0.3">
      <c r="A31" s="193">
        <v>11</v>
      </c>
      <c r="B31" s="201" t="s">
        <v>56</v>
      </c>
      <c r="C31" s="201" t="s">
        <v>146</v>
      </c>
      <c r="D31" s="201" t="s">
        <v>147</v>
      </c>
      <c r="E31" s="201" t="s">
        <v>131</v>
      </c>
      <c r="F31" s="206">
        <v>45756</v>
      </c>
      <c r="G31" s="201" t="s">
        <v>269</v>
      </c>
      <c r="H31" s="195">
        <v>9970</v>
      </c>
      <c r="I31" s="196">
        <f>IF(X31 = 47, H31 + SUM(S31:S31) - SUM(T31:T31) - SUM(P31:P31) - V31,0)</f>
        <v>0</v>
      </c>
      <c r="J31" s="201" t="s">
        <v>270</v>
      </c>
      <c r="K31" s="201" t="s">
        <v>271</v>
      </c>
      <c r="L31" s="201" t="s">
        <v>146</v>
      </c>
      <c r="M31" s="201"/>
      <c r="N31" s="206">
        <v>45756</v>
      </c>
      <c r="O31" s="206" t="s">
        <v>183</v>
      </c>
      <c r="P31" s="195">
        <v>9970</v>
      </c>
      <c r="Q31" s="194">
        <v>45757</v>
      </c>
      <c r="R31" s="201"/>
      <c r="S31" s="195"/>
      <c r="T31" s="195"/>
      <c r="U31" s="195"/>
      <c r="V31" s="205"/>
      <c r="W31" s="202"/>
      <c r="X31" s="105">
        <v>47</v>
      </c>
    </row>
    <row r="32" spans="1:24" s="105" customFormat="1" ht="144" x14ac:dyDescent="0.3">
      <c r="A32" s="193">
        <v>12</v>
      </c>
      <c r="B32" s="203" t="s">
        <v>56</v>
      </c>
      <c r="C32" s="203" t="s">
        <v>146</v>
      </c>
      <c r="D32" s="203" t="s">
        <v>147</v>
      </c>
      <c r="E32" s="203" t="s">
        <v>272</v>
      </c>
      <c r="F32" s="208">
        <v>45762</v>
      </c>
      <c r="G32" s="203" t="s">
        <v>273</v>
      </c>
      <c r="H32" s="195">
        <v>4200</v>
      </c>
      <c r="I32" s="196">
        <f>IF(X32 = 48, H32 + SUM(S32:S32) - SUM(T32:T32) - SUM(P32:P32) - V32,0)</f>
        <v>0</v>
      </c>
      <c r="J32" s="203" t="s">
        <v>274</v>
      </c>
      <c r="K32" s="203" t="s">
        <v>159</v>
      </c>
      <c r="L32" s="203" t="s">
        <v>146</v>
      </c>
      <c r="M32" s="203"/>
      <c r="N32" s="208">
        <v>45762</v>
      </c>
      <c r="O32" s="208" t="s">
        <v>183</v>
      </c>
      <c r="P32" s="195">
        <v>4200</v>
      </c>
      <c r="Q32" s="194">
        <v>45771</v>
      </c>
      <c r="R32" s="203"/>
      <c r="S32" s="195"/>
      <c r="T32" s="195"/>
      <c r="U32" s="195"/>
      <c r="V32" s="205"/>
      <c r="W32" s="204"/>
      <c r="X32" s="105">
        <v>48</v>
      </c>
    </row>
    <row r="33" spans="1:24" s="105" customFormat="1" ht="144" x14ac:dyDescent="0.3">
      <c r="A33" s="235">
        <v>13</v>
      </c>
      <c r="B33" s="231" t="s">
        <v>56</v>
      </c>
      <c r="C33" s="231" t="s">
        <v>146</v>
      </c>
      <c r="D33" s="231" t="s">
        <v>147</v>
      </c>
      <c r="E33" s="231" t="s">
        <v>136</v>
      </c>
      <c r="F33" s="242">
        <v>45782</v>
      </c>
      <c r="G33" s="231" t="s">
        <v>278</v>
      </c>
      <c r="H33" s="237">
        <v>80900</v>
      </c>
      <c r="I33" s="238">
        <f>IF(X33 = 49, H33 + SUM(S33:S33) - SUM(T33:T33) - SUM(P33:P33) - V33,0)</f>
        <v>0</v>
      </c>
      <c r="J33" s="231" t="s">
        <v>279</v>
      </c>
      <c r="K33" s="231" t="s">
        <v>280</v>
      </c>
      <c r="L33" s="231" t="s">
        <v>146</v>
      </c>
      <c r="M33" s="231"/>
      <c r="N33" s="242">
        <v>45783</v>
      </c>
      <c r="O33" s="242" t="s">
        <v>183</v>
      </c>
      <c r="P33" s="237">
        <v>80900</v>
      </c>
      <c r="Q33" s="236">
        <v>45789</v>
      </c>
      <c r="R33" s="231"/>
      <c r="S33" s="237"/>
      <c r="T33" s="237"/>
      <c r="U33" s="237"/>
      <c r="V33" s="243"/>
      <c r="W33" s="227"/>
      <c r="X33" s="105">
        <v>49</v>
      </c>
    </row>
    <row r="34" spans="1:24" s="105" customFormat="1" ht="144" x14ac:dyDescent="0.3">
      <c r="A34" s="235">
        <v>14</v>
      </c>
      <c r="B34" s="231" t="s">
        <v>56</v>
      </c>
      <c r="C34" s="231" t="s">
        <v>146</v>
      </c>
      <c r="D34" s="231" t="s">
        <v>147</v>
      </c>
      <c r="E34" s="231" t="s">
        <v>285</v>
      </c>
      <c r="F34" s="242">
        <v>45784</v>
      </c>
      <c r="G34" s="231" t="s">
        <v>286</v>
      </c>
      <c r="H34" s="237">
        <v>29900</v>
      </c>
      <c r="I34" s="238">
        <f>IF(X34 = 50, H34 + SUM(S34:S34) - SUM(T34:T34) - SUM(P34:P34) - V34,0)</f>
        <v>0</v>
      </c>
      <c r="J34" s="231" t="s">
        <v>287</v>
      </c>
      <c r="K34" s="231" t="s">
        <v>288</v>
      </c>
      <c r="L34" s="231" t="s">
        <v>146</v>
      </c>
      <c r="M34" s="231"/>
      <c r="N34" s="242">
        <v>45784</v>
      </c>
      <c r="O34" s="242" t="s">
        <v>183</v>
      </c>
      <c r="P34" s="237">
        <v>29900</v>
      </c>
      <c r="Q34" s="236">
        <v>45791</v>
      </c>
      <c r="R34" s="231"/>
      <c r="S34" s="237"/>
      <c r="T34" s="237"/>
      <c r="U34" s="237"/>
      <c r="V34" s="243"/>
      <c r="W34" s="227"/>
      <c r="X34" s="105">
        <v>50</v>
      </c>
    </row>
    <row r="35" spans="1:24" s="105" customFormat="1" ht="144" x14ac:dyDescent="0.3">
      <c r="A35" s="235">
        <v>15</v>
      </c>
      <c r="B35" s="231" t="s">
        <v>56</v>
      </c>
      <c r="C35" s="231" t="s">
        <v>146</v>
      </c>
      <c r="D35" s="231" t="s">
        <v>147</v>
      </c>
      <c r="E35" s="231" t="s">
        <v>292</v>
      </c>
      <c r="F35" s="242">
        <v>45789</v>
      </c>
      <c r="G35" s="231" t="s">
        <v>291</v>
      </c>
      <c r="H35" s="237">
        <v>14500</v>
      </c>
      <c r="I35" s="238">
        <f>IF(X35 = 51, H35 + SUM(S35:S35) - SUM(T35:T35) - SUM(P35:P35) - V35,0)</f>
        <v>0</v>
      </c>
      <c r="J35" s="231" t="s">
        <v>290</v>
      </c>
      <c r="K35" s="231" t="s">
        <v>289</v>
      </c>
      <c r="L35" s="231" t="s">
        <v>146</v>
      </c>
      <c r="M35" s="231"/>
      <c r="N35" s="242">
        <v>45789</v>
      </c>
      <c r="O35" s="242" t="s">
        <v>183</v>
      </c>
      <c r="P35" s="237">
        <v>14500</v>
      </c>
      <c r="Q35" s="236">
        <v>45791</v>
      </c>
      <c r="R35" s="231"/>
      <c r="S35" s="237"/>
      <c r="T35" s="237"/>
      <c r="U35" s="237"/>
      <c r="V35" s="243"/>
      <c r="W35" s="227"/>
      <c r="X35" s="105">
        <v>51</v>
      </c>
    </row>
    <row r="36" spans="1:24" s="105" customFormat="1" ht="144" x14ac:dyDescent="0.3">
      <c r="A36" s="235">
        <v>16</v>
      </c>
      <c r="B36" s="231" t="s">
        <v>56</v>
      </c>
      <c r="C36" s="231" t="s">
        <v>146</v>
      </c>
      <c r="D36" s="231" t="s">
        <v>147</v>
      </c>
      <c r="E36" s="231" t="s">
        <v>293</v>
      </c>
      <c r="F36" s="242">
        <v>45791</v>
      </c>
      <c r="G36" s="231" t="s">
        <v>294</v>
      </c>
      <c r="H36" s="237">
        <v>11063.61</v>
      </c>
      <c r="I36" s="238">
        <f>IF(X36 = 52, H36 + SUM(S36:S36) - SUM(T36:T36) - SUM(P36:P36) - V36,0)</f>
        <v>0</v>
      </c>
      <c r="J36" s="231" t="s">
        <v>295</v>
      </c>
      <c r="K36" s="231" t="s">
        <v>296</v>
      </c>
      <c r="L36" s="231" t="s">
        <v>146</v>
      </c>
      <c r="M36" s="231"/>
      <c r="N36" s="242">
        <v>45791</v>
      </c>
      <c r="O36" s="242" t="s">
        <v>183</v>
      </c>
      <c r="P36" s="237">
        <v>11063.61</v>
      </c>
      <c r="Q36" s="236">
        <v>45792</v>
      </c>
      <c r="R36" s="231"/>
      <c r="S36" s="237"/>
      <c r="T36" s="237"/>
      <c r="U36" s="237"/>
      <c r="V36" s="243"/>
      <c r="W36" s="227"/>
      <c r="X36" s="105">
        <v>52</v>
      </c>
    </row>
    <row r="37" spans="1:24" s="105" customFormat="1" ht="144" x14ac:dyDescent="0.3">
      <c r="A37" s="235">
        <v>17</v>
      </c>
      <c r="B37" s="233" t="s">
        <v>56</v>
      </c>
      <c r="C37" s="233" t="s">
        <v>146</v>
      </c>
      <c r="D37" s="233" t="s">
        <v>147</v>
      </c>
      <c r="E37" s="233" t="s">
        <v>298</v>
      </c>
      <c r="F37" s="265">
        <v>45796</v>
      </c>
      <c r="G37" s="233" t="s">
        <v>299</v>
      </c>
      <c r="H37" s="237">
        <v>35400</v>
      </c>
      <c r="I37" s="238">
        <f>IF(X37 = 53, H37 + SUM(S37:S37) - SUM(T37:T37) - SUM(P37:P37) - V37,0)</f>
        <v>0</v>
      </c>
      <c r="J37" s="233" t="s">
        <v>300</v>
      </c>
      <c r="K37" s="233" t="s">
        <v>301</v>
      </c>
      <c r="L37" s="233" t="s">
        <v>146</v>
      </c>
      <c r="M37" s="233"/>
      <c r="N37" s="265">
        <v>45797</v>
      </c>
      <c r="O37" s="265" t="s">
        <v>183</v>
      </c>
      <c r="P37" s="237">
        <v>35400</v>
      </c>
      <c r="Q37" s="236">
        <v>45812</v>
      </c>
      <c r="R37" s="233"/>
      <c r="S37" s="237"/>
      <c r="T37" s="237"/>
      <c r="U37" s="237"/>
      <c r="V37" s="243"/>
      <c r="W37" s="234"/>
      <c r="X37" s="105">
        <v>53</v>
      </c>
    </row>
    <row r="38" spans="1:24" s="105" customFormat="1" ht="144" customHeight="1" x14ac:dyDescent="0.3">
      <c r="A38" s="385">
        <v>18</v>
      </c>
      <c r="B38" s="377" t="s">
        <v>56</v>
      </c>
      <c r="C38" s="377" t="s">
        <v>146</v>
      </c>
      <c r="D38" s="377" t="s">
        <v>147</v>
      </c>
      <c r="E38" s="377" t="s">
        <v>304</v>
      </c>
      <c r="F38" s="379">
        <v>45813</v>
      </c>
      <c r="G38" s="377" t="s">
        <v>305</v>
      </c>
      <c r="H38" s="381">
        <v>200000</v>
      </c>
      <c r="I38" s="383">
        <f>IF(X38 = 54, H38 + SUM(S38:S39) - SUM(T38:T39) - SUM(P38:P39) - V38,0)</f>
        <v>0</v>
      </c>
      <c r="J38" s="377" t="s">
        <v>306</v>
      </c>
      <c r="K38" s="377" t="s">
        <v>187</v>
      </c>
      <c r="L38" s="377" t="s">
        <v>146</v>
      </c>
      <c r="M38" s="377"/>
      <c r="N38" s="286">
        <v>45817</v>
      </c>
      <c r="O38" s="379" t="s">
        <v>183</v>
      </c>
      <c r="P38" s="280">
        <v>199803</v>
      </c>
      <c r="Q38" s="281">
        <v>45818</v>
      </c>
      <c r="R38" s="282"/>
      <c r="S38" s="280"/>
      <c r="T38" s="280"/>
      <c r="U38" s="381"/>
      <c r="V38" s="387"/>
      <c r="W38" s="375"/>
      <c r="X38" s="105">
        <v>54</v>
      </c>
    </row>
    <row r="39" spans="1:24" s="266" customFormat="1" x14ac:dyDescent="0.3">
      <c r="A39" s="386"/>
      <c r="B39" s="378"/>
      <c r="C39" s="378"/>
      <c r="D39" s="378"/>
      <c r="E39" s="378"/>
      <c r="F39" s="380"/>
      <c r="G39" s="378"/>
      <c r="H39" s="382"/>
      <c r="I39" s="384"/>
      <c r="J39" s="378"/>
      <c r="K39" s="378"/>
      <c r="L39" s="378"/>
      <c r="M39" s="378"/>
      <c r="N39" s="287">
        <v>45817</v>
      </c>
      <c r="O39" s="380"/>
      <c r="P39" s="283">
        <v>197</v>
      </c>
      <c r="Q39" s="284">
        <v>45818</v>
      </c>
      <c r="R39" s="285"/>
      <c r="S39" s="283"/>
      <c r="T39" s="283"/>
      <c r="U39" s="382"/>
      <c r="V39" s="388"/>
      <c r="W39" s="376"/>
      <c r="X39" s="266">
        <v>54</v>
      </c>
    </row>
    <row r="40" spans="1:24" s="105" customFormat="1" ht="144" x14ac:dyDescent="0.3">
      <c r="A40" s="250">
        <v>19</v>
      </c>
      <c r="B40" s="251" t="s">
        <v>56</v>
      </c>
      <c r="C40" s="251" t="s">
        <v>146</v>
      </c>
      <c r="D40" s="251" t="s">
        <v>147</v>
      </c>
      <c r="E40" s="251" t="s">
        <v>307</v>
      </c>
      <c r="F40" s="267">
        <v>45810</v>
      </c>
      <c r="G40" s="251" t="s">
        <v>262</v>
      </c>
      <c r="H40" s="253">
        <v>4000</v>
      </c>
      <c r="I40" s="254">
        <f>IF(X40 = 55, H40 + SUM(S40:S40) - SUM(T40:T40) - SUM(P40:P40) - V40,0)</f>
        <v>0</v>
      </c>
      <c r="J40" s="251" t="s">
        <v>308</v>
      </c>
      <c r="K40" s="251" t="s">
        <v>309</v>
      </c>
      <c r="L40" s="251" t="s">
        <v>146</v>
      </c>
      <c r="M40" s="251"/>
      <c r="N40" s="267">
        <v>45810</v>
      </c>
      <c r="O40" s="267" t="s">
        <v>183</v>
      </c>
      <c r="P40" s="253">
        <v>4000</v>
      </c>
      <c r="Q40" s="252">
        <v>45810</v>
      </c>
      <c r="R40" s="251"/>
      <c r="S40" s="253"/>
      <c r="T40" s="253"/>
      <c r="U40" s="253"/>
      <c r="V40" s="263"/>
      <c r="W40" s="258"/>
      <c r="X40" s="105">
        <v>55</v>
      </c>
    </row>
    <row r="41" spans="1:24" s="105" customFormat="1" ht="144" x14ac:dyDescent="0.3">
      <c r="A41" s="250">
        <v>20</v>
      </c>
      <c r="B41" s="251" t="s">
        <v>56</v>
      </c>
      <c r="C41" s="251" t="s">
        <v>146</v>
      </c>
      <c r="D41" s="251" t="s">
        <v>147</v>
      </c>
      <c r="E41" s="251" t="s">
        <v>310</v>
      </c>
      <c r="F41" s="267">
        <v>45806</v>
      </c>
      <c r="G41" s="251" t="s">
        <v>311</v>
      </c>
      <c r="H41" s="253">
        <v>3243.23</v>
      </c>
      <c r="I41" s="254">
        <f>IF(X41 = 56, H41 + SUM(S41:S41) - SUM(T41:T41) - SUM(P41:P41) - V41,0)</f>
        <v>0</v>
      </c>
      <c r="J41" s="251" t="s">
        <v>312</v>
      </c>
      <c r="K41" s="251" t="s">
        <v>313</v>
      </c>
      <c r="L41" s="251" t="s">
        <v>146</v>
      </c>
      <c r="M41" s="251"/>
      <c r="N41" s="267">
        <v>45806</v>
      </c>
      <c r="O41" s="265" t="s">
        <v>183</v>
      </c>
      <c r="P41" s="253">
        <v>3243.23</v>
      </c>
      <c r="Q41" s="252">
        <v>45812</v>
      </c>
      <c r="R41" s="251"/>
      <c r="S41" s="253"/>
      <c r="T41" s="253"/>
      <c r="U41" s="253"/>
      <c r="V41" s="263"/>
      <c r="W41" s="258"/>
      <c r="X41" s="105">
        <v>56</v>
      </c>
    </row>
    <row r="42" spans="1:24" s="105" customFormat="1" ht="144" x14ac:dyDescent="0.3">
      <c r="A42" s="250">
        <v>21</v>
      </c>
      <c r="B42" s="251" t="s">
        <v>56</v>
      </c>
      <c r="C42" s="251" t="s">
        <v>146</v>
      </c>
      <c r="D42" s="251" t="s">
        <v>147</v>
      </c>
      <c r="E42" s="251" t="s">
        <v>314</v>
      </c>
      <c r="F42" s="267">
        <v>45806</v>
      </c>
      <c r="G42" s="251" t="s">
        <v>315</v>
      </c>
      <c r="H42" s="253">
        <v>3400</v>
      </c>
      <c r="I42" s="254">
        <f>IF(X42 = 57, H42 + SUM(S42:S42) - SUM(T42:T42) - SUM(P42:P42) - V42,0)</f>
        <v>0</v>
      </c>
      <c r="J42" s="251" t="s">
        <v>312</v>
      </c>
      <c r="K42" s="251" t="s">
        <v>313</v>
      </c>
      <c r="L42" s="251" t="s">
        <v>146</v>
      </c>
      <c r="M42" s="251"/>
      <c r="N42" s="267">
        <v>45806</v>
      </c>
      <c r="O42" s="267" t="s">
        <v>183</v>
      </c>
      <c r="P42" s="253">
        <v>3400</v>
      </c>
      <c r="Q42" s="252">
        <v>45818</v>
      </c>
      <c r="R42" s="251"/>
      <c r="S42" s="253"/>
      <c r="T42" s="253"/>
      <c r="U42" s="253"/>
      <c r="V42" s="263"/>
      <c r="W42" s="258"/>
      <c r="X42" s="105">
        <v>57</v>
      </c>
    </row>
    <row r="43" spans="1:24" s="105" customFormat="1" ht="144" x14ac:dyDescent="0.3">
      <c r="A43" s="250">
        <v>22</v>
      </c>
      <c r="B43" s="251" t="s">
        <v>56</v>
      </c>
      <c r="C43" s="251" t="s">
        <v>146</v>
      </c>
      <c r="D43" s="251" t="s">
        <v>147</v>
      </c>
      <c r="E43" s="251" t="s">
        <v>302</v>
      </c>
      <c r="F43" s="267">
        <v>45813</v>
      </c>
      <c r="G43" s="251" t="s">
        <v>316</v>
      </c>
      <c r="H43" s="253">
        <v>5100</v>
      </c>
      <c r="I43" s="254">
        <f>IF(X43 = 58, H43 + SUM(S43:S43) - SUM(T43:T43) - SUM(P43:P43) - V43,0)</f>
        <v>0</v>
      </c>
      <c r="J43" s="251" t="s">
        <v>267</v>
      </c>
      <c r="K43" s="251" t="s">
        <v>266</v>
      </c>
      <c r="L43" s="251" t="s">
        <v>146</v>
      </c>
      <c r="M43" s="251"/>
      <c r="N43" s="267">
        <v>45814</v>
      </c>
      <c r="O43" s="267" t="s">
        <v>183</v>
      </c>
      <c r="P43" s="253">
        <v>5100</v>
      </c>
      <c r="Q43" s="252">
        <v>45818</v>
      </c>
      <c r="R43" s="251"/>
      <c r="S43" s="253"/>
      <c r="T43" s="253"/>
      <c r="U43" s="253"/>
      <c r="V43" s="263"/>
      <c r="W43" s="258"/>
      <c r="X43" s="105">
        <v>58</v>
      </c>
    </row>
    <row r="44" spans="1:24" s="105" customFormat="1" ht="144" x14ac:dyDescent="0.3">
      <c r="A44" s="250">
        <v>23</v>
      </c>
      <c r="B44" s="251" t="s">
        <v>56</v>
      </c>
      <c r="C44" s="251" t="s">
        <v>146</v>
      </c>
      <c r="D44" s="251" t="s">
        <v>147</v>
      </c>
      <c r="E44" s="251" t="s">
        <v>317</v>
      </c>
      <c r="F44" s="267">
        <v>45818</v>
      </c>
      <c r="G44" s="251" t="s">
        <v>318</v>
      </c>
      <c r="H44" s="253">
        <v>156096</v>
      </c>
      <c r="I44" s="254">
        <f>IF(X44 = 59, H44 + SUM(S44:S44) - SUM(T44:T44) - SUM(P44:P44) - V44,0)</f>
        <v>156096</v>
      </c>
      <c r="J44" s="251" t="s">
        <v>319</v>
      </c>
      <c r="K44" s="251" t="s">
        <v>179</v>
      </c>
      <c r="L44" s="251" t="s">
        <v>146</v>
      </c>
      <c r="M44" s="251"/>
      <c r="N44" s="267"/>
      <c r="O44" s="267" t="s">
        <v>183</v>
      </c>
      <c r="P44" s="253"/>
      <c r="Q44" s="252"/>
      <c r="R44" s="251"/>
      <c r="S44" s="253"/>
      <c r="T44" s="253"/>
      <c r="U44" s="253"/>
      <c r="V44" s="263"/>
      <c r="W44" s="258"/>
      <c r="X44" s="105">
        <v>59</v>
      </c>
    </row>
    <row r="45" spans="1:24" s="105" customFormat="1" ht="144" x14ac:dyDescent="0.3">
      <c r="A45" s="250">
        <v>24</v>
      </c>
      <c r="B45" s="251" t="s">
        <v>56</v>
      </c>
      <c r="C45" s="251" t="s">
        <v>146</v>
      </c>
      <c r="D45" s="251" t="s">
        <v>147</v>
      </c>
      <c r="E45" s="251" t="s">
        <v>320</v>
      </c>
      <c r="F45" s="267">
        <v>45818</v>
      </c>
      <c r="G45" s="251" t="s">
        <v>321</v>
      </c>
      <c r="H45" s="253">
        <v>17100</v>
      </c>
      <c r="I45" s="254">
        <f>IF(X45 = 60, H45 + SUM(S45:S45) - SUM(T45:T45) - SUM(P45:P45) - V45,0)</f>
        <v>11970</v>
      </c>
      <c r="J45" s="251" t="s">
        <v>322</v>
      </c>
      <c r="K45" s="251" t="s">
        <v>323</v>
      </c>
      <c r="L45" s="251" t="s">
        <v>146</v>
      </c>
      <c r="M45" s="251"/>
      <c r="N45" s="267"/>
      <c r="O45" s="267" t="s">
        <v>324</v>
      </c>
      <c r="P45" s="253">
        <v>5130</v>
      </c>
      <c r="Q45" s="252">
        <v>45826</v>
      </c>
      <c r="R45" s="251"/>
      <c r="S45" s="253"/>
      <c r="T45" s="253"/>
      <c r="U45" s="253"/>
      <c r="V45" s="263"/>
      <c r="W45" s="258"/>
      <c r="X45" s="105">
        <v>60</v>
      </c>
    </row>
    <row r="46" spans="1:24" s="105" customFormat="1" ht="144" customHeight="1" x14ac:dyDescent="0.3">
      <c r="A46" s="385">
        <v>25</v>
      </c>
      <c r="B46" s="377" t="s">
        <v>56</v>
      </c>
      <c r="C46" s="377" t="s">
        <v>146</v>
      </c>
      <c r="D46" s="377" t="s">
        <v>147</v>
      </c>
      <c r="E46" s="377" t="s">
        <v>325</v>
      </c>
      <c r="F46" s="379">
        <v>45831</v>
      </c>
      <c r="G46" s="377" t="s">
        <v>326</v>
      </c>
      <c r="H46" s="381">
        <v>50500</v>
      </c>
      <c r="I46" s="383">
        <f>IF(X46 = 61, H46 + SUM(S46:S47) - SUM(T46:T47) - SUM(P46:P47) - V46,0)</f>
        <v>0</v>
      </c>
      <c r="J46" s="377" t="s">
        <v>327</v>
      </c>
      <c r="K46" s="377" t="s">
        <v>157</v>
      </c>
      <c r="L46" s="377" t="s">
        <v>146</v>
      </c>
      <c r="M46" s="377"/>
      <c r="N46" s="286">
        <v>45831</v>
      </c>
      <c r="O46" s="379" t="s">
        <v>183</v>
      </c>
      <c r="P46" s="280">
        <v>45000</v>
      </c>
      <c r="Q46" s="281">
        <v>45832</v>
      </c>
      <c r="R46" s="282"/>
      <c r="S46" s="280"/>
      <c r="T46" s="280"/>
      <c r="U46" s="381"/>
      <c r="V46" s="387"/>
      <c r="W46" s="375"/>
      <c r="X46" s="105">
        <v>61</v>
      </c>
    </row>
    <row r="47" spans="1:24" s="266" customFormat="1" x14ac:dyDescent="0.3">
      <c r="A47" s="386"/>
      <c r="B47" s="378"/>
      <c r="C47" s="378"/>
      <c r="D47" s="378"/>
      <c r="E47" s="378"/>
      <c r="F47" s="380"/>
      <c r="G47" s="378"/>
      <c r="H47" s="382"/>
      <c r="I47" s="384"/>
      <c r="J47" s="378"/>
      <c r="K47" s="378"/>
      <c r="L47" s="378"/>
      <c r="M47" s="378"/>
      <c r="N47" s="287">
        <v>45831</v>
      </c>
      <c r="O47" s="380"/>
      <c r="P47" s="283">
        <v>5500</v>
      </c>
      <c r="Q47" s="284">
        <v>45832</v>
      </c>
      <c r="R47" s="285"/>
      <c r="S47" s="283"/>
      <c r="T47" s="283"/>
      <c r="U47" s="382"/>
      <c r="V47" s="388"/>
      <c r="W47" s="376"/>
      <c r="X47" s="266">
        <v>61</v>
      </c>
    </row>
    <row r="48" spans="1:24" x14ac:dyDescent="0.3">
      <c r="A48" s="142"/>
      <c r="B48" s="143"/>
      <c r="C48" s="144"/>
      <c r="D48" s="144"/>
      <c r="E48" s="180"/>
      <c r="F48" s="159"/>
      <c r="G48" s="144"/>
      <c r="H48" s="148"/>
      <c r="I48" s="149">
        <f>IF(X48 = 35, H48 + SUM(S48:S48) - SUM(T48:T48) - SUM(P48:P48) - V48,0)</f>
        <v>0</v>
      </c>
      <c r="J48" s="144"/>
      <c r="K48" s="144"/>
      <c r="L48" s="144"/>
      <c r="M48" s="144"/>
      <c r="N48" s="159"/>
      <c r="O48" s="159"/>
      <c r="P48" s="148"/>
      <c r="Q48" s="145"/>
      <c r="R48" s="147"/>
      <c r="S48" s="148"/>
      <c r="T48" s="148"/>
      <c r="U48" s="148"/>
      <c r="V48" s="146"/>
      <c r="W48" s="147"/>
      <c r="X48" s="8">
        <v>62</v>
      </c>
    </row>
    <row r="49" spans="1:22" s="2" customFormat="1" x14ac:dyDescent="0.3">
      <c r="A49" s="41"/>
      <c r="B49" s="107"/>
      <c r="C49" s="41"/>
      <c r="D49" s="41"/>
      <c r="E49" s="42"/>
      <c r="F49" s="41"/>
      <c r="G49" s="41"/>
      <c r="H49" s="44"/>
      <c r="I49" s="44"/>
      <c r="J49" s="41"/>
      <c r="K49" s="41"/>
      <c r="L49" s="41"/>
      <c r="M49" s="41"/>
      <c r="N49" s="42"/>
      <c r="O49" s="41"/>
      <c r="P49" s="40"/>
      <c r="Q49" s="42"/>
      <c r="U49" s="42"/>
      <c r="V49" s="40"/>
    </row>
    <row r="50" spans="1:22" s="2" customFormat="1" x14ac:dyDescent="0.3">
      <c r="A50" s="41"/>
      <c r="B50" s="107"/>
      <c r="C50" s="41"/>
      <c r="D50" s="41"/>
      <c r="E50" s="42"/>
      <c r="F50" s="41"/>
      <c r="G50" s="41"/>
      <c r="H50" s="44"/>
      <c r="I50" s="44"/>
      <c r="J50" s="41"/>
      <c r="K50" s="41"/>
      <c r="L50" s="41"/>
      <c r="M50" s="41"/>
      <c r="N50" s="42"/>
      <c r="O50" s="41"/>
      <c r="P50" s="40"/>
      <c r="Q50" s="42"/>
      <c r="U50" s="42"/>
      <c r="V50" s="40"/>
    </row>
    <row r="51" spans="1:22" s="2" customFormat="1" x14ac:dyDescent="0.3">
      <c r="A51" s="41"/>
      <c r="B51" s="107"/>
      <c r="C51" s="41"/>
      <c r="D51" s="41"/>
      <c r="E51" s="42"/>
      <c r="F51" s="41"/>
      <c r="G51" s="41"/>
      <c r="H51" s="44"/>
      <c r="I51" s="44"/>
      <c r="J51" s="41"/>
      <c r="K51" s="41"/>
      <c r="L51" s="41"/>
      <c r="M51" s="41"/>
      <c r="N51" s="42"/>
      <c r="O51" s="41"/>
      <c r="P51" s="40"/>
      <c r="Q51" s="42"/>
      <c r="U51" s="42"/>
      <c r="V51" s="40"/>
    </row>
    <row r="52" spans="1:22" s="2" customFormat="1" x14ac:dyDescent="0.3">
      <c r="A52" s="41"/>
      <c r="B52" s="107"/>
      <c r="C52" s="41"/>
      <c r="D52" s="41"/>
      <c r="E52" s="42"/>
      <c r="F52" s="41"/>
      <c r="G52" s="41"/>
      <c r="H52" s="44"/>
      <c r="I52" s="44"/>
      <c r="J52" s="41"/>
      <c r="K52" s="41"/>
      <c r="L52" s="41"/>
      <c r="M52" s="41"/>
      <c r="N52" s="42"/>
      <c r="O52" s="41"/>
      <c r="P52" s="40"/>
      <c r="Q52" s="42"/>
      <c r="U52" s="42"/>
      <c r="V52" s="40"/>
    </row>
    <row r="53" spans="1:22" s="2" customFormat="1" x14ac:dyDescent="0.3">
      <c r="A53" s="41"/>
      <c r="B53" s="107"/>
      <c r="C53" s="41"/>
      <c r="D53" s="41"/>
      <c r="E53" s="42"/>
      <c r="F53" s="41"/>
      <c r="G53" s="41"/>
      <c r="H53" s="44"/>
      <c r="I53" s="44"/>
      <c r="J53" s="41"/>
      <c r="K53" s="41"/>
      <c r="L53" s="41"/>
      <c r="M53" s="41"/>
      <c r="N53" s="42"/>
      <c r="O53" s="41"/>
      <c r="P53" s="40"/>
      <c r="Q53" s="42"/>
      <c r="U53" s="42"/>
      <c r="V53" s="40"/>
    </row>
  </sheetData>
  <sheetProtection password="EB34" sheet="1" objects="1" scenarios="1" formatCells="0" formatColumns="0" formatRows="0"/>
  <mergeCells count="92">
    <mergeCell ref="A3:E3"/>
    <mergeCell ref="S2:U2"/>
    <mergeCell ref="N2:O2"/>
    <mergeCell ref="J4:K4"/>
    <mergeCell ref="M4:N4"/>
    <mergeCell ref="O4:P4"/>
    <mergeCell ref="K2:M2"/>
    <mergeCell ref="A28:A29"/>
    <mergeCell ref="O28:O29"/>
    <mergeCell ref="U28:U29"/>
    <mergeCell ref="B28:B29"/>
    <mergeCell ref="V28:V29"/>
    <mergeCell ref="C28:C29"/>
    <mergeCell ref="W28:W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V17:V24"/>
    <mergeCell ref="C17:C24"/>
    <mergeCell ref="A17:A24"/>
    <mergeCell ref="W9:W13"/>
    <mergeCell ref="W17:W24"/>
    <mergeCell ref="D17:D24"/>
    <mergeCell ref="E17:E24"/>
    <mergeCell ref="F17:F24"/>
    <mergeCell ref="G17:G24"/>
    <mergeCell ref="H17:H24"/>
    <mergeCell ref="I17:I24"/>
    <mergeCell ref="J17:J24"/>
    <mergeCell ref="K17:K24"/>
    <mergeCell ref="L17:L24"/>
    <mergeCell ref="M17:M24"/>
    <mergeCell ref="O17:O24"/>
    <mergeCell ref="U17:U24"/>
    <mergeCell ref="A9:A13"/>
    <mergeCell ref="O9:O13"/>
    <mergeCell ref="U9:U13"/>
    <mergeCell ref="B9:B13"/>
    <mergeCell ref="B17:B24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A38:A39"/>
    <mergeCell ref="O38:O39"/>
    <mergeCell ref="U38:U39"/>
    <mergeCell ref="B38:B39"/>
    <mergeCell ref="V38:V39"/>
    <mergeCell ref="C38:C39"/>
    <mergeCell ref="W38:W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A46:A47"/>
    <mergeCell ref="O46:O47"/>
    <mergeCell ref="U46:U47"/>
    <mergeCell ref="B46:B47"/>
    <mergeCell ref="V46:V47"/>
    <mergeCell ref="C46:C47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</sheetPr>
  <dimension ref="A1:X149"/>
  <sheetViews>
    <sheetView showGridLines="0" tabSelected="1" topLeftCell="I1" zoomScale="60" zoomScaleNormal="60" workbookViewId="0">
      <pane ySplit="8" topLeftCell="A9" activePane="bottomLeft" state="frozen"/>
      <selection pane="bottomLeft" activeCell="P9" sqref="P9:P11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546" t="s">
        <v>24</v>
      </c>
      <c r="G2" s="547"/>
      <c r="H2" s="98">
        <f>SUM(H9:H9999)</f>
        <v>3432889.09</v>
      </c>
      <c r="I2" s="86"/>
      <c r="J2" s="39"/>
      <c r="N2" s="428" t="s">
        <v>137</v>
      </c>
      <c r="O2" s="430"/>
      <c r="P2" s="87">
        <f>SUM(P9:P9999)</f>
        <v>2117601.7600000007</v>
      </c>
      <c r="R2" s="86"/>
      <c r="S2" s="428" t="s">
        <v>45</v>
      </c>
      <c r="T2" s="429"/>
      <c r="U2" s="430"/>
      <c r="V2" s="88">
        <f>SUM(V9:V9999)</f>
        <v>0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90" customHeight="1" x14ac:dyDescent="0.3">
      <c r="A9" s="423">
        <v>1</v>
      </c>
      <c r="B9" s="415" t="s">
        <v>56</v>
      </c>
      <c r="C9" s="415" t="s">
        <v>162</v>
      </c>
      <c r="D9" s="415" t="s">
        <v>147</v>
      </c>
      <c r="E9" s="415" t="s">
        <v>199</v>
      </c>
      <c r="F9" s="417">
        <v>45654</v>
      </c>
      <c r="G9" s="460" t="s">
        <v>163</v>
      </c>
      <c r="H9" s="419">
        <v>290000</v>
      </c>
      <c r="I9" s="421">
        <f>IF(X9 = 18, H9 + SUM(S9:S11) - SUM(T9:T11) - SUM(P9:P11) - V9,0)</f>
        <v>117434.09</v>
      </c>
      <c r="J9" s="512">
        <v>2310195709</v>
      </c>
      <c r="K9" s="515" t="s">
        <v>200</v>
      </c>
      <c r="L9" s="415" t="s">
        <v>146</v>
      </c>
      <c r="M9" s="415"/>
      <c r="N9" s="218">
        <v>45688</v>
      </c>
      <c r="O9" s="417" t="s">
        <v>183</v>
      </c>
      <c r="P9" s="209">
        <v>59560.23</v>
      </c>
      <c r="Q9" s="210">
        <v>45699</v>
      </c>
      <c r="R9" s="211"/>
      <c r="S9" s="209"/>
      <c r="T9" s="209"/>
      <c r="U9" s="419"/>
      <c r="V9" s="479"/>
      <c r="W9" s="413"/>
      <c r="X9" s="106">
        <v>18</v>
      </c>
    </row>
    <row r="10" spans="1:24" s="2" customFormat="1" x14ac:dyDescent="0.3">
      <c r="A10" s="478"/>
      <c r="B10" s="476"/>
      <c r="C10" s="476"/>
      <c r="D10" s="476"/>
      <c r="E10" s="476"/>
      <c r="F10" s="477"/>
      <c r="G10" s="461"/>
      <c r="H10" s="475"/>
      <c r="I10" s="511"/>
      <c r="J10" s="513"/>
      <c r="K10" s="516"/>
      <c r="L10" s="476"/>
      <c r="M10" s="476"/>
      <c r="N10" s="219">
        <v>45716</v>
      </c>
      <c r="O10" s="477"/>
      <c r="P10" s="212">
        <v>68605.929999999993</v>
      </c>
      <c r="Q10" s="213">
        <v>45727</v>
      </c>
      <c r="R10" s="214"/>
      <c r="S10" s="212"/>
      <c r="T10" s="212"/>
      <c r="U10" s="475"/>
      <c r="V10" s="480"/>
      <c r="W10" s="510"/>
      <c r="X10" s="2">
        <v>18</v>
      </c>
    </row>
    <row r="11" spans="1:24" s="2" customFormat="1" x14ac:dyDescent="0.3">
      <c r="A11" s="424"/>
      <c r="B11" s="416"/>
      <c r="C11" s="416"/>
      <c r="D11" s="416"/>
      <c r="E11" s="416"/>
      <c r="F11" s="418"/>
      <c r="G11" s="462"/>
      <c r="H11" s="420"/>
      <c r="I11" s="422"/>
      <c r="J11" s="514"/>
      <c r="K11" s="517"/>
      <c r="L11" s="416"/>
      <c r="M11" s="416"/>
      <c r="N11" s="220">
        <v>45747</v>
      </c>
      <c r="O11" s="418"/>
      <c r="P11" s="215">
        <v>44399.75</v>
      </c>
      <c r="Q11" s="216">
        <v>45755</v>
      </c>
      <c r="R11" s="217"/>
      <c r="S11" s="215"/>
      <c r="T11" s="215"/>
      <c r="U11" s="420"/>
      <c r="V11" s="481"/>
      <c r="W11" s="414"/>
      <c r="X11" s="2">
        <v>18</v>
      </c>
    </row>
    <row r="12" spans="1:24" s="106" customFormat="1" ht="36" customHeight="1" x14ac:dyDescent="0.3">
      <c r="A12" s="407">
        <v>2</v>
      </c>
      <c r="B12" s="392" t="s">
        <v>56</v>
      </c>
      <c r="C12" s="392" t="s">
        <v>146</v>
      </c>
      <c r="D12" s="392" t="s">
        <v>147</v>
      </c>
      <c r="E12" s="392" t="s">
        <v>113</v>
      </c>
      <c r="F12" s="398">
        <v>45655</v>
      </c>
      <c r="G12" s="466" t="s">
        <v>165</v>
      </c>
      <c r="H12" s="401">
        <v>44000</v>
      </c>
      <c r="I12" s="404">
        <f>IF(X12 = 19, H12 + SUM(S12:S16) - SUM(T12:T16) - SUM(P12:P16) - V12,0)</f>
        <v>34777.47</v>
      </c>
      <c r="J12" s="469">
        <v>2353246210</v>
      </c>
      <c r="K12" s="472" t="s">
        <v>150</v>
      </c>
      <c r="L12" s="392" t="s">
        <v>146</v>
      </c>
      <c r="M12" s="392"/>
      <c r="N12" s="259">
        <v>45674</v>
      </c>
      <c r="O12" s="398" t="s">
        <v>166</v>
      </c>
      <c r="P12" s="244">
        <v>1523.36</v>
      </c>
      <c r="Q12" s="245">
        <v>45688</v>
      </c>
      <c r="R12" s="246"/>
      <c r="S12" s="244"/>
      <c r="T12" s="244"/>
      <c r="U12" s="401"/>
      <c r="V12" s="463"/>
      <c r="W12" s="410"/>
      <c r="X12" s="106">
        <v>19</v>
      </c>
    </row>
    <row r="13" spans="1:24" s="2" customFormat="1" x14ac:dyDescent="0.3">
      <c r="A13" s="408"/>
      <c r="B13" s="393"/>
      <c r="C13" s="393"/>
      <c r="D13" s="393"/>
      <c r="E13" s="393"/>
      <c r="F13" s="399"/>
      <c r="G13" s="467"/>
      <c r="H13" s="402"/>
      <c r="I13" s="405"/>
      <c r="J13" s="470"/>
      <c r="K13" s="473"/>
      <c r="L13" s="393"/>
      <c r="M13" s="393"/>
      <c r="N13" s="260">
        <v>45707</v>
      </c>
      <c r="O13" s="399"/>
      <c r="P13" s="247">
        <v>2182.12</v>
      </c>
      <c r="Q13" s="248">
        <v>45716</v>
      </c>
      <c r="R13" s="249"/>
      <c r="S13" s="247"/>
      <c r="T13" s="247"/>
      <c r="U13" s="402"/>
      <c r="V13" s="464"/>
      <c r="W13" s="411"/>
      <c r="X13" s="2">
        <v>19</v>
      </c>
    </row>
    <row r="14" spans="1:24" s="2" customFormat="1" x14ac:dyDescent="0.3">
      <c r="A14" s="408"/>
      <c r="B14" s="393"/>
      <c r="C14" s="393"/>
      <c r="D14" s="393"/>
      <c r="E14" s="393"/>
      <c r="F14" s="399"/>
      <c r="G14" s="467"/>
      <c r="H14" s="402"/>
      <c r="I14" s="405"/>
      <c r="J14" s="470"/>
      <c r="K14" s="473"/>
      <c r="L14" s="393"/>
      <c r="M14" s="393"/>
      <c r="N14" s="260">
        <v>45733</v>
      </c>
      <c r="O14" s="399"/>
      <c r="P14" s="247">
        <v>1646.88</v>
      </c>
      <c r="Q14" s="248">
        <v>45735</v>
      </c>
      <c r="R14" s="249"/>
      <c r="S14" s="247"/>
      <c r="T14" s="247"/>
      <c r="U14" s="402"/>
      <c r="V14" s="464"/>
      <c r="W14" s="411"/>
      <c r="X14" s="2">
        <v>19</v>
      </c>
    </row>
    <row r="15" spans="1:24" s="2" customFormat="1" x14ac:dyDescent="0.3">
      <c r="A15" s="408"/>
      <c r="B15" s="393"/>
      <c r="C15" s="393"/>
      <c r="D15" s="393"/>
      <c r="E15" s="393"/>
      <c r="F15" s="399"/>
      <c r="G15" s="467"/>
      <c r="H15" s="402"/>
      <c r="I15" s="405"/>
      <c r="J15" s="470"/>
      <c r="K15" s="473"/>
      <c r="L15" s="393"/>
      <c r="M15" s="393"/>
      <c r="N15" s="260">
        <v>45763</v>
      </c>
      <c r="O15" s="399"/>
      <c r="P15" s="247">
        <v>2264.46</v>
      </c>
      <c r="Q15" s="248">
        <v>45777</v>
      </c>
      <c r="R15" s="249"/>
      <c r="S15" s="247"/>
      <c r="T15" s="247"/>
      <c r="U15" s="402"/>
      <c r="V15" s="464"/>
      <c r="W15" s="411"/>
      <c r="X15" s="2">
        <v>19</v>
      </c>
    </row>
    <row r="16" spans="1:24" s="2" customFormat="1" x14ac:dyDescent="0.3">
      <c r="A16" s="409"/>
      <c r="B16" s="394"/>
      <c r="C16" s="394"/>
      <c r="D16" s="394"/>
      <c r="E16" s="394"/>
      <c r="F16" s="400"/>
      <c r="G16" s="468"/>
      <c r="H16" s="403"/>
      <c r="I16" s="406"/>
      <c r="J16" s="471"/>
      <c r="K16" s="474"/>
      <c r="L16" s="394"/>
      <c r="M16" s="394"/>
      <c r="N16" s="261">
        <v>45791</v>
      </c>
      <c r="O16" s="400"/>
      <c r="P16" s="255">
        <v>1605.71</v>
      </c>
      <c r="Q16" s="256">
        <v>45807</v>
      </c>
      <c r="R16" s="257"/>
      <c r="S16" s="255"/>
      <c r="T16" s="255"/>
      <c r="U16" s="403"/>
      <c r="V16" s="465"/>
      <c r="W16" s="412"/>
      <c r="X16" s="2">
        <v>19</v>
      </c>
    </row>
    <row r="17" spans="1:24" s="106" customFormat="1" ht="37.5" customHeight="1" x14ac:dyDescent="0.3">
      <c r="A17" s="407">
        <v>3</v>
      </c>
      <c r="B17" s="392" t="s">
        <v>56</v>
      </c>
      <c r="C17" s="392" t="s">
        <v>146</v>
      </c>
      <c r="D17" s="392" t="s">
        <v>170</v>
      </c>
      <c r="E17" s="392" t="s">
        <v>171</v>
      </c>
      <c r="F17" s="398">
        <v>45654</v>
      </c>
      <c r="G17" s="466" t="s">
        <v>167</v>
      </c>
      <c r="H17" s="401">
        <v>370000</v>
      </c>
      <c r="I17" s="404">
        <f>IF(X17 = 20, H17 + SUM(S17:S32) - SUM(T17:T32) - SUM(P17:P32) - V17,0)</f>
        <v>60104.350000000035</v>
      </c>
      <c r="J17" s="469">
        <v>2308119595</v>
      </c>
      <c r="K17" s="472" t="s">
        <v>149</v>
      </c>
      <c r="L17" s="392" t="s">
        <v>146</v>
      </c>
      <c r="M17" s="392"/>
      <c r="N17" s="259">
        <v>45658</v>
      </c>
      <c r="O17" s="398" t="s">
        <v>168</v>
      </c>
      <c r="P17" s="244">
        <v>25009.94</v>
      </c>
      <c r="Q17" s="245">
        <v>45685</v>
      </c>
      <c r="R17" s="246"/>
      <c r="S17" s="244"/>
      <c r="T17" s="244"/>
      <c r="U17" s="401"/>
      <c r="V17" s="463"/>
      <c r="W17" s="410"/>
      <c r="X17" s="106">
        <v>20</v>
      </c>
    </row>
    <row r="18" spans="1:24" s="2" customFormat="1" x14ac:dyDescent="0.3">
      <c r="A18" s="408"/>
      <c r="B18" s="393"/>
      <c r="C18" s="393"/>
      <c r="D18" s="393"/>
      <c r="E18" s="393"/>
      <c r="F18" s="399"/>
      <c r="G18" s="467"/>
      <c r="H18" s="402"/>
      <c r="I18" s="405"/>
      <c r="J18" s="470"/>
      <c r="K18" s="473"/>
      <c r="L18" s="393"/>
      <c r="M18" s="393"/>
      <c r="N18" s="260">
        <v>45689</v>
      </c>
      <c r="O18" s="399"/>
      <c r="P18" s="247">
        <v>18751.080000000002</v>
      </c>
      <c r="Q18" s="248">
        <v>45692</v>
      </c>
      <c r="R18" s="249"/>
      <c r="S18" s="247"/>
      <c r="T18" s="247"/>
      <c r="U18" s="402"/>
      <c r="V18" s="464"/>
      <c r="W18" s="411"/>
      <c r="X18" s="2">
        <v>20</v>
      </c>
    </row>
    <row r="19" spans="1:24" s="2" customFormat="1" x14ac:dyDescent="0.3">
      <c r="A19" s="408"/>
      <c r="B19" s="393"/>
      <c r="C19" s="393"/>
      <c r="D19" s="393"/>
      <c r="E19" s="393"/>
      <c r="F19" s="399"/>
      <c r="G19" s="467"/>
      <c r="H19" s="402"/>
      <c r="I19" s="405"/>
      <c r="J19" s="470"/>
      <c r="K19" s="473"/>
      <c r="L19" s="393"/>
      <c r="M19" s="393"/>
      <c r="N19" s="260">
        <v>45688</v>
      </c>
      <c r="O19" s="399"/>
      <c r="P19" s="247">
        <v>40907.68</v>
      </c>
      <c r="Q19" s="248">
        <v>45705</v>
      </c>
      <c r="R19" s="249"/>
      <c r="S19" s="247"/>
      <c r="T19" s="247"/>
      <c r="U19" s="402"/>
      <c r="V19" s="464"/>
      <c r="W19" s="411"/>
      <c r="X19" s="2">
        <v>20</v>
      </c>
    </row>
    <row r="20" spans="1:24" s="2" customFormat="1" x14ac:dyDescent="0.3">
      <c r="A20" s="408"/>
      <c r="B20" s="393"/>
      <c r="C20" s="393"/>
      <c r="D20" s="393"/>
      <c r="E20" s="393"/>
      <c r="F20" s="399"/>
      <c r="G20" s="467"/>
      <c r="H20" s="402"/>
      <c r="I20" s="405"/>
      <c r="J20" s="470"/>
      <c r="K20" s="473"/>
      <c r="L20" s="393"/>
      <c r="M20" s="393"/>
      <c r="N20" s="260">
        <v>45689</v>
      </c>
      <c r="O20" s="399"/>
      <c r="P20" s="247">
        <v>28796.27</v>
      </c>
      <c r="Q20" s="248">
        <v>45705</v>
      </c>
      <c r="R20" s="249"/>
      <c r="S20" s="247"/>
      <c r="T20" s="247"/>
      <c r="U20" s="402"/>
      <c r="V20" s="464"/>
      <c r="W20" s="411"/>
      <c r="X20" s="2">
        <v>20</v>
      </c>
    </row>
    <row r="21" spans="1:24" s="2" customFormat="1" x14ac:dyDescent="0.3">
      <c r="A21" s="408"/>
      <c r="B21" s="393"/>
      <c r="C21" s="393"/>
      <c r="D21" s="393"/>
      <c r="E21" s="393"/>
      <c r="F21" s="399"/>
      <c r="G21" s="467"/>
      <c r="H21" s="402"/>
      <c r="I21" s="405"/>
      <c r="J21" s="470"/>
      <c r="K21" s="473"/>
      <c r="L21" s="393"/>
      <c r="M21" s="393"/>
      <c r="N21" s="260">
        <v>45717</v>
      </c>
      <c r="O21" s="399"/>
      <c r="P21" s="247">
        <v>21597.200000000001</v>
      </c>
      <c r="Q21" s="248">
        <v>45719</v>
      </c>
      <c r="R21" s="249"/>
      <c r="S21" s="247"/>
      <c r="T21" s="247"/>
      <c r="U21" s="402"/>
      <c r="V21" s="464"/>
      <c r="W21" s="411"/>
      <c r="X21" s="2">
        <v>20</v>
      </c>
    </row>
    <row r="22" spans="1:24" s="2" customFormat="1" x14ac:dyDescent="0.3">
      <c r="A22" s="408"/>
      <c r="B22" s="393"/>
      <c r="C22" s="393"/>
      <c r="D22" s="393"/>
      <c r="E22" s="393"/>
      <c r="F22" s="399"/>
      <c r="G22" s="467"/>
      <c r="H22" s="402"/>
      <c r="I22" s="405"/>
      <c r="J22" s="470"/>
      <c r="K22" s="473"/>
      <c r="L22" s="393"/>
      <c r="M22" s="393"/>
      <c r="N22" s="260">
        <v>45716</v>
      </c>
      <c r="O22" s="399"/>
      <c r="P22" s="247">
        <v>9060.59</v>
      </c>
      <c r="Q22" s="248">
        <v>45729</v>
      </c>
      <c r="R22" s="249"/>
      <c r="S22" s="247"/>
      <c r="T22" s="247"/>
      <c r="U22" s="402"/>
      <c r="V22" s="464"/>
      <c r="W22" s="411"/>
      <c r="X22" s="2">
        <v>20</v>
      </c>
    </row>
    <row r="23" spans="1:24" s="2" customFormat="1" x14ac:dyDescent="0.3">
      <c r="A23" s="408"/>
      <c r="B23" s="393"/>
      <c r="C23" s="393"/>
      <c r="D23" s="393"/>
      <c r="E23" s="393"/>
      <c r="F23" s="399"/>
      <c r="G23" s="467"/>
      <c r="H23" s="402"/>
      <c r="I23" s="405"/>
      <c r="J23" s="470"/>
      <c r="K23" s="473"/>
      <c r="L23" s="393"/>
      <c r="M23" s="393"/>
      <c r="N23" s="260">
        <v>45717</v>
      </c>
      <c r="O23" s="399"/>
      <c r="P23" s="247">
        <v>24651.97</v>
      </c>
      <c r="Q23" s="248">
        <v>45729</v>
      </c>
      <c r="R23" s="249"/>
      <c r="S23" s="247"/>
      <c r="T23" s="247"/>
      <c r="U23" s="402"/>
      <c r="V23" s="464"/>
      <c r="W23" s="411"/>
      <c r="X23" s="2">
        <v>20</v>
      </c>
    </row>
    <row r="24" spans="1:24" s="2" customFormat="1" x14ac:dyDescent="0.3">
      <c r="A24" s="408"/>
      <c r="B24" s="393"/>
      <c r="C24" s="393"/>
      <c r="D24" s="393"/>
      <c r="E24" s="393"/>
      <c r="F24" s="399"/>
      <c r="G24" s="467"/>
      <c r="H24" s="402"/>
      <c r="I24" s="405"/>
      <c r="J24" s="470"/>
      <c r="K24" s="473"/>
      <c r="L24" s="393"/>
      <c r="M24" s="393"/>
      <c r="N24" s="260">
        <v>45748</v>
      </c>
      <c r="O24" s="399"/>
      <c r="P24" s="247">
        <v>18496.34</v>
      </c>
      <c r="Q24" s="248">
        <v>45748</v>
      </c>
      <c r="R24" s="249"/>
      <c r="S24" s="247"/>
      <c r="T24" s="247"/>
      <c r="U24" s="402"/>
      <c r="V24" s="464"/>
      <c r="W24" s="411"/>
      <c r="X24" s="2">
        <v>20</v>
      </c>
    </row>
    <row r="25" spans="1:24" s="2" customFormat="1" x14ac:dyDescent="0.3">
      <c r="A25" s="408"/>
      <c r="B25" s="393"/>
      <c r="C25" s="393"/>
      <c r="D25" s="393"/>
      <c r="E25" s="393"/>
      <c r="F25" s="399"/>
      <c r="G25" s="467"/>
      <c r="H25" s="402"/>
      <c r="I25" s="405"/>
      <c r="J25" s="470"/>
      <c r="K25" s="473"/>
      <c r="L25" s="393"/>
      <c r="M25" s="393"/>
      <c r="N25" s="260">
        <v>45747</v>
      </c>
      <c r="O25" s="399"/>
      <c r="P25" s="247">
        <v>9628.5499999999993</v>
      </c>
      <c r="Q25" s="248">
        <v>45761</v>
      </c>
      <c r="R25" s="249"/>
      <c r="S25" s="247"/>
      <c r="T25" s="247"/>
      <c r="U25" s="402"/>
      <c r="V25" s="464"/>
      <c r="W25" s="411"/>
      <c r="X25" s="2">
        <v>20</v>
      </c>
    </row>
    <row r="26" spans="1:24" s="2" customFormat="1" x14ac:dyDescent="0.3">
      <c r="A26" s="408"/>
      <c r="B26" s="393"/>
      <c r="C26" s="393"/>
      <c r="D26" s="393"/>
      <c r="E26" s="393"/>
      <c r="F26" s="399"/>
      <c r="G26" s="467"/>
      <c r="H26" s="402"/>
      <c r="I26" s="405"/>
      <c r="J26" s="470"/>
      <c r="K26" s="473"/>
      <c r="L26" s="393"/>
      <c r="M26" s="393"/>
      <c r="N26" s="260">
        <v>45748</v>
      </c>
      <c r="O26" s="399"/>
      <c r="P26" s="247">
        <v>22353.7</v>
      </c>
      <c r="Q26" s="248">
        <v>45761</v>
      </c>
      <c r="R26" s="249"/>
      <c r="S26" s="247"/>
      <c r="T26" s="247"/>
      <c r="U26" s="402"/>
      <c r="V26" s="464"/>
      <c r="W26" s="411"/>
      <c r="X26" s="2">
        <v>20</v>
      </c>
    </row>
    <row r="27" spans="1:24" s="2" customFormat="1" x14ac:dyDescent="0.3">
      <c r="A27" s="408"/>
      <c r="B27" s="393"/>
      <c r="C27" s="393"/>
      <c r="D27" s="393"/>
      <c r="E27" s="393"/>
      <c r="F27" s="399"/>
      <c r="G27" s="467"/>
      <c r="H27" s="402"/>
      <c r="I27" s="405"/>
      <c r="J27" s="470"/>
      <c r="K27" s="473"/>
      <c r="L27" s="393"/>
      <c r="M27" s="393"/>
      <c r="N27" s="260">
        <v>45778</v>
      </c>
      <c r="O27" s="399"/>
      <c r="P27" s="247">
        <v>16768.52</v>
      </c>
      <c r="Q27" s="248">
        <v>45782</v>
      </c>
      <c r="R27" s="249"/>
      <c r="S27" s="247"/>
      <c r="T27" s="247"/>
      <c r="U27" s="402"/>
      <c r="V27" s="464"/>
      <c r="W27" s="411"/>
      <c r="X27" s="2">
        <v>20</v>
      </c>
    </row>
    <row r="28" spans="1:24" s="2" customFormat="1" x14ac:dyDescent="0.3">
      <c r="A28" s="408"/>
      <c r="B28" s="393"/>
      <c r="C28" s="393"/>
      <c r="D28" s="393"/>
      <c r="E28" s="393"/>
      <c r="F28" s="399"/>
      <c r="G28" s="467"/>
      <c r="H28" s="402"/>
      <c r="I28" s="405"/>
      <c r="J28" s="470"/>
      <c r="K28" s="473"/>
      <c r="L28" s="393"/>
      <c r="M28" s="393"/>
      <c r="N28" s="260">
        <v>45778</v>
      </c>
      <c r="O28" s="399"/>
      <c r="P28" s="247">
        <v>24338.09</v>
      </c>
      <c r="Q28" s="248">
        <v>45790</v>
      </c>
      <c r="R28" s="249"/>
      <c r="S28" s="247"/>
      <c r="T28" s="247"/>
      <c r="U28" s="402"/>
      <c r="V28" s="464"/>
      <c r="W28" s="411"/>
      <c r="X28" s="2">
        <v>20</v>
      </c>
    </row>
    <row r="29" spans="1:24" s="2" customFormat="1" x14ac:dyDescent="0.3">
      <c r="A29" s="408"/>
      <c r="B29" s="393"/>
      <c r="C29" s="393"/>
      <c r="D29" s="393"/>
      <c r="E29" s="393"/>
      <c r="F29" s="399"/>
      <c r="G29" s="467"/>
      <c r="H29" s="402"/>
      <c r="I29" s="405"/>
      <c r="J29" s="470"/>
      <c r="K29" s="473"/>
      <c r="L29" s="393"/>
      <c r="M29" s="393"/>
      <c r="N29" s="260">
        <v>45777</v>
      </c>
      <c r="O29" s="399"/>
      <c r="P29" s="247">
        <v>14917.97</v>
      </c>
      <c r="Q29" s="248">
        <v>45790</v>
      </c>
      <c r="R29" s="249"/>
      <c r="S29" s="247"/>
      <c r="T29" s="247"/>
      <c r="U29" s="402"/>
      <c r="V29" s="464"/>
      <c r="W29" s="411"/>
      <c r="X29" s="2">
        <v>20</v>
      </c>
    </row>
    <row r="30" spans="1:24" s="2" customFormat="1" x14ac:dyDescent="0.3">
      <c r="A30" s="408"/>
      <c r="B30" s="393"/>
      <c r="C30" s="393"/>
      <c r="D30" s="393"/>
      <c r="E30" s="393"/>
      <c r="F30" s="399"/>
      <c r="G30" s="467"/>
      <c r="H30" s="402"/>
      <c r="I30" s="405"/>
      <c r="J30" s="470"/>
      <c r="K30" s="473"/>
      <c r="L30" s="393"/>
      <c r="M30" s="393"/>
      <c r="N30" s="260">
        <v>45809</v>
      </c>
      <c r="O30" s="399"/>
      <c r="P30" s="247">
        <v>18253.57</v>
      </c>
      <c r="Q30" s="248">
        <v>45810</v>
      </c>
      <c r="R30" s="249"/>
      <c r="S30" s="247"/>
      <c r="T30" s="247"/>
      <c r="U30" s="402"/>
      <c r="V30" s="464"/>
      <c r="W30" s="411"/>
      <c r="X30" s="2">
        <v>20</v>
      </c>
    </row>
    <row r="31" spans="1:24" s="2" customFormat="1" x14ac:dyDescent="0.3">
      <c r="A31" s="408"/>
      <c r="B31" s="393"/>
      <c r="C31" s="393"/>
      <c r="D31" s="393"/>
      <c r="E31" s="393"/>
      <c r="F31" s="399"/>
      <c r="G31" s="467"/>
      <c r="H31" s="402"/>
      <c r="I31" s="405"/>
      <c r="J31" s="470"/>
      <c r="K31" s="473"/>
      <c r="L31" s="393"/>
      <c r="M31" s="393"/>
      <c r="N31" s="260">
        <v>45809</v>
      </c>
      <c r="O31" s="399"/>
      <c r="P31" s="247">
        <v>16364.18</v>
      </c>
      <c r="Q31" s="248">
        <v>45827</v>
      </c>
      <c r="R31" s="249"/>
      <c r="S31" s="247"/>
      <c r="T31" s="247"/>
      <c r="U31" s="402"/>
      <c r="V31" s="464"/>
      <c r="W31" s="411"/>
      <c r="X31" s="2">
        <v>20</v>
      </c>
    </row>
    <row r="32" spans="1:24" s="2" customFormat="1" x14ac:dyDescent="0.3">
      <c r="A32" s="409"/>
      <c r="B32" s="394"/>
      <c r="C32" s="394"/>
      <c r="D32" s="394"/>
      <c r="E32" s="394"/>
      <c r="F32" s="400"/>
      <c r="G32" s="468"/>
      <c r="H32" s="403"/>
      <c r="I32" s="406"/>
      <c r="J32" s="471"/>
      <c r="K32" s="474"/>
      <c r="L32" s="394"/>
      <c r="M32" s="394"/>
      <c r="N32" s="261"/>
      <c r="O32" s="400"/>
      <c r="P32" s="255"/>
      <c r="Q32" s="256"/>
      <c r="R32" s="257"/>
      <c r="S32" s="255"/>
      <c r="T32" s="255"/>
      <c r="U32" s="403"/>
      <c r="V32" s="465"/>
      <c r="W32" s="412"/>
      <c r="X32" s="2">
        <v>20</v>
      </c>
    </row>
    <row r="33" spans="1:24" s="106" customFormat="1" ht="72" customHeight="1" x14ac:dyDescent="0.3">
      <c r="A33" s="407">
        <v>4</v>
      </c>
      <c r="B33" s="392" t="s">
        <v>56</v>
      </c>
      <c r="C33" s="392" t="s">
        <v>146</v>
      </c>
      <c r="D33" s="392" t="s">
        <v>147</v>
      </c>
      <c r="E33" s="392" t="s">
        <v>172</v>
      </c>
      <c r="F33" s="398">
        <v>45654</v>
      </c>
      <c r="G33" s="466" t="s">
        <v>148</v>
      </c>
      <c r="H33" s="401">
        <v>50565.84</v>
      </c>
      <c r="I33" s="404">
        <f>IF(X33 = 21, H33 + SUM(S33:S37) - SUM(T33:T37) - SUM(P33:P37) - V33,0)</f>
        <v>30354.089999999997</v>
      </c>
      <c r="J33" s="469">
        <v>2308131994</v>
      </c>
      <c r="K33" s="472" t="s">
        <v>161</v>
      </c>
      <c r="L33" s="392" t="s">
        <v>146</v>
      </c>
      <c r="M33" s="392"/>
      <c r="N33" s="259">
        <v>45688</v>
      </c>
      <c r="O33" s="398" t="s">
        <v>169</v>
      </c>
      <c r="P33" s="244">
        <v>4042.35</v>
      </c>
      <c r="Q33" s="245">
        <v>45692</v>
      </c>
      <c r="R33" s="246"/>
      <c r="S33" s="244"/>
      <c r="T33" s="244"/>
      <c r="U33" s="401"/>
      <c r="V33" s="463"/>
      <c r="W33" s="410"/>
      <c r="X33" s="106">
        <v>21</v>
      </c>
    </row>
    <row r="34" spans="1:24" s="2" customFormat="1" x14ac:dyDescent="0.3">
      <c r="A34" s="408"/>
      <c r="B34" s="393"/>
      <c r="C34" s="393"/>
      <c r="D34" s="393"/>
      <c r="E34" s="393"/>
      <c r="F34" s="399"/>
      <c r="G34" s="467"/>
      <c r="H34" s="402"/>
      <c r="I34" s="405"/>
      <c r="J34" s="470"/>
      <c r="K34" s="473"/>
      <c r="L34" s="393"/>
      <c r="M34" s="393"/>
      <c r="N34" s="260">
        <v>45716</v>
      </c>
      <c r="O34" s="399"/>
      <c r="P34" s="247">
        <v>4042.35</v>
      </c>
      <c r="Q34" s="248">
        <v>45727</v>
      </c>
      <c r="R34" s="249"/>
      <c r="S34" s="247"/>
      <c r="T34" s="247"/>
      <c r="U34" s="402"/>
      <c r="V34" s="464"/>
      <c r="W34" s="411"/>
      <c r="X34" s="2">
        <v>21</v>
      </c>
    </row>
    <row r="35" spans="1:24" s="2" customFormat="1" x14ac:dyDescent="0.3">
      <c r="A35" s="408"/>
      <c r="B35" s="393"/>
      <c r="C35" s="393"/>
      <c r="D35" s="393"/>
      <c r="E35" s="393"/>
      <c r="F35" s="399"/>
      <c r="G35" s="467"/>
      <c r="H35" s="402"/>
      <c r="I35" s="405"/>
      <c r="J35" s="470"/>
      <c r="K35" s="473"/>
      <c r="L35" s="393"/>
      <c r="M35" s="393"/>
      <c r="N35" s="260" t="s">
        <v>275</v>
      </c>
      <c r="O35" s="399"/>
      <c r="P35" s="247">
        <v>4042.35</v>
      </c>
      <c r="Q35" s="248">
        <v>45749</v>
      </c>
      <c r="R35" s="249"/>
      <c r="S35" s="247"/>
      <c r="T35" s="247"/>
      <c r="U35" s="402"/>
      <c r="V35" s="464"/>
      <c r="W35" s="411"/>
      <c r="X35" s="2">
        <v>21</v>
      </c>
    </row>
    <row r="36" spans="1:24" s="2" customFormat="1" x14ac:dyDescent="0.3">
      <c r="A36" s="408"/>
      <c r="B36" s="393"/>
      <c r="C36" s="393"/>
      <c r="D36" s="393"/>
      <c r="E36" s="393"/>
      <c r="F36" s="399"/>
      <c r="G36" s="467"/>
      <c r="H36" s="402"/>
      <c r="I36" s="405"/>
      <c r="J36" s="470"/>
      <c r="K36" s="473"/>
      <c r="L36" s="393"/>
      <c r="M36" s="393"/>
      <c r="N36" s="260">
        <v>45777</v>
      </c>
      <c r="O36" s="399"/>
      <c r="P36" s="247">
        <v>4042.35</v>
      </c>
      <c r="Q36" s="248">
        <v>45789</v>
      </c>
      <c r="R36" s="249"/>
      <c r="S36" s="247"/>
      <c r="T36" s="247"/>
      <c r="U36" s="402"/>
      <c r="V36" s="464"/>
      <c r="W36" s="411"/>
      <c r="X36" s="2">
        <v>21</v>
      </c>
    </row>
    <row r="37" spans="1:24" s="2" customFormat="1" x14ac:dyDescent="0.3">
      <c r="A37" s="409"/>
      <c r="B37" s="394"/>
      <c r="C37" s="394"/>
      <c r="D37" s="394"/>
      <c r="E37" s="394"/>
      <c r="F37" s="400"/>
      <c r="G37" s="468"/>
      <c r="H37" s="403"/>
      <c r="I37" s="406"/>
      <c r="J37" s="471"/>
      <c r="K37" s="474"/>
      <c r="L37" s="394"/>
      <c r="M37" s="394"/>
      <c r="N37" s="261">
        <v>45808</v>
      </c>
      <c r="O37" s="400"/>
      <c r="P37" s="255">
        <v>4042.35</v>
      </c>
      <c r="Q37" s="256">
        <v>45812</v>
      </c>
      <c r="R37" s="257"/>
      <c r="S37" s="255"/>
      <c r="T37" s="255"/>
      <c r="U37" s="403"/>
      <c r="V37" s="465"/>
      <c r="W37" s="412"/>
      <c r="X37" s="2">
        <v>21</v>
      </c>
    </row>
    <row r="38" spans="1:24" s="106" customFormat="1" ht="187.5" customHeight="1" x14ac:dyDescent="0.3">
      <c r="A38" s="508">
        <v>5</v>
      </c>
      <c r="B38" s="489" t="s">
        <v>56</v>
      </c>
      <c r="C38" s="489" t="s">
        <v>146</v>
      </c>
      <c r="D38" s="489" t="s">
        <v>147</v>
      </c>
      <c r="E38" s="489" t="s">
        <v>36</v>
      </c>
      <c r="F38" s="482">
        <v>45654</v>
      </c>
      <c r="G38" s="493" t="s">
        <v>185</v>
      </c>
      <c r="H38" s="496">
        <v>17500</v>
      </c>
      <c r="I38" s="499">
        <f>IF(X38 = 22, H38 + SUM(S38:S42) - SUM(T38:T42) - SUM(P38:P42) - V38,0)</f>
        <v>7500</v>
      </c>
      <c r="J38" s="502">
        <v>235301271520</v>
      </c>
      <c r="K38" s="505" t="s">
        <v>158</v>
      </c>
      <c r="L38" s="489" t="s">
        <v>146</v>
      </c>
      <c r="M38" s="489"/>
      <c r="N38" s="118">
        <v>45681</v>
      </c>
      <c r="O38" s="482" t="s">
        <v>183</v>
      </c>
      <c r="P38" s="119">
        <v>2500</v>
      </c>
      <c r="Q38" s="120">
        <v>45693</v>
      </c>
      <c r="R38" s="121"/>
      <c r="S38" s="119"/>
      <c r="T38" s="119"/>
      <c r="U38" s="496"/>
      <c r="V38" s="484"/>
      <c r="W38" s="518"/>
      <c r="X38" s="106">
        <v>22</v>
      </c>
    </row>
    <row r="39" spans="1:24" s="2" customFormat="1" x14ac:dyDescent="0.3">
      <c r="A39" s="509"/>
      <c r="B39" s="490"/>
      <c r="C39" s="490"/>
      <c r="D39" s="490"/>
      <c r="E39" s="490"/>
      <c r="F39" s="483"/>
      <c r="G39" s="494"/>
      <c r="H39" s="497"/>
      <c r="I39" s="500"/>
      <c r="J39" s="503"/>
      <c r="K39" s="506"/>
      <c r="L39" s="490"/>
      <c r="M39" s="490"/>
      <c r="N39" s="126">
        <v>45713</v>
      </c>
      <c r="O39" s="483"/>
      <c r="P39" s="127">
        <v>2500</v>
      </c>
      <c r="Q39" s="128">
        <v>45716</v>
      </c>
      <c r="R39" s="129"/>
      <c r="S39" s="127"/>
      <c r="T39" s="127"/>
      <c r="U39" s="497"/>
      <c r="V39" s="485"/>
      <c r="W39" s="519"/>
      <c r="X39" s="2">
        <v>22</v>
      </c>
    </row>
    <row r="40" spans="1:24" s="2" customFormat="1" x14ac:dyDescent="0.3">
      <c r="A40" s="509"/>
      <c r="B40" s="490"/>
      <c r="C40" s="490"/>
      <c r="D40" s="490"/>
      <c r="E40" s="490"/>
      <c r="F40" s="483"/>
      <c r="G40" s="494"/>
      <c r="H40" s="497"/>
      <c r="I40" s="500"/>
      <c r="J40" s="503"/>
      <c r="K40" s="506"/>
      <c r="L40" s="490"/>
      <c r="M40" s="490"/>
      <c r="N40" s="126">
        <v>45741</v>
      </c>
      <c r="O40" s="483"/>
      <c r="P40" s="127">
        <v>2500</v>
      </c>
      <c r="Q40" s="128">
        <v>45742</v>
      </c>
      <c r="R40" s="129"/>
      <c r="S40" s="127"/>
      <c r="T40" s="127"/>
      <c r="U40" s="497"/>
      <c r="V40" s="485"/>
      <c r="W40" s="519"/>
      <c r="X40" s="2">
        <v>22</v>
      </c>
    </row>
    <row r="41" spans="1:24" s="2" customFormat="1" x14ac:dyDescent="0.3">
      <c r="A41" s="509"/>
      <c r="B41" s="490"/>
      <c r="C41" s="490"/>
      <c r="D41" s="490"/>
      <c r="E41" s="490"/>
      <c r="F41" s="483"/>
      <c r="G41" s="494"/>
      <c r="H41" s="497"/>
      <c r="I41" s="500"/>
      <c r="J41" s="503"/>
      <c r="K41" s="506"/>
      <c r="L41" s="490"/>
      <c r="M41" s="490"/>
      <c r="N41" s="126">
        <v>45771</v>
      </c>
      <c r="O41" s="483"/>
      <c r="P41" s="127">
        <v>2500</v>
      </c>
      <c r="Q41" s="128">
        <v>45777</v>
      </c>
      <c r="R41" s="129"/>
      <c r="S41" s="127"/>
      <c r="T41" s="127"/>
      <c r="U41" s="497"/>
      <c r="V41" s="485"/>
      <c r="W41" s="519"/>
      <c r="X41" s="2">
        <v>22</v>
      </c>
    </row>
    <row r="42" spans="1:24" s="2" customFormat="1" x14ac:dyDescent="0.3">
      <c r="A42" s="509"/>
      <c r="B42" s="490"/>
      <c r="C42" s="490"/>
      <c r="D42" s="490"/>
      <c r="E42" s="490"/>
      <c r="F42" s="483"/>
      <c r="G42" s="494"/>
      <c r="H42" s="497"/>
      <c r="I42" s="500"/>
      <c r="J42" s="503"/>
      <c r="K42" s="506"/>
      <c r="L42" s="490"/>
      <c r="M42" s="490"/>
      <c r="N42" s="126"/>
      <c r="O42" s="483"/>
      <c r="P42" s="127"/>
      <c r="Q42" s="128"/>
      <c r="R42" s="129"/>
      <c r="S42" s="127"/>
      <c r="T42" s="127"/>
      <c r="U42" s="497"/>
      <c r="V42" s="485"/>
      <c r="W42" s="519"/>
      <c r="X42" s="2">
        <v>22</v>
      </c>
    </row>
    <row r="43" spans="1:24" s="106" customFormat="1" ht="187.5" customHeight="1" x14ac:dyDescent="0.3">
      <c r="A43" s="508">
        <v>6</v>
      </c>
      <c r="B43" s="489" t="s">
        <v>56</v>
      </c>
      <c r="C43" s="489" t="s">
        <v>146</v>
      </c>
      <c r="D43" s="489" t="s">
        <v>147</v>
      </c>
      <c r="E43" s="489" t="s">
        <v>111</v>
      </c>
      <c r="F43" s="482">
        <v>45654</v>
      </c>
      <c r="G43" s="493" t="s">
        <v>186</v>
      </c>
      <c r="H43" s="496">
        <v>17400</v>
      </c>
      <c r="I43" s="499">
        <f>IF(X43 = 23, H43 + SUM(S43:S47) - SUM(T43:T47) - SUM(P43:P47) - V43,0)</f>
        <v>10150</v>
      </c>
      <c r="J43" s="502">
        <v>231107998282</v>
      </c>
      <c r="K43" s="505" t="s">
        <v>187</v>
      </c>
      <c r="L43" s="489" t="s">
        <v>146</v>
      </c>
      <c r="M43" s="489"/>
      <c r="N43" s="118">
        <v>45688</v>
      </c>
      <c r="O43" s="482" t="s">
        <v>183</v>
      </c>
      <c r="P43" s="119">
        <v>1450</v>
      </c>
      <c r="Q43" s="120">
        <v>45693</v>
      </c>
      <c r="R43" s="121"/>
      <c r="S43" s="119"/>
      <c r="T43" s="119"/>
      <c r="U43" s="496"/>
      <c r="V43" s="484"/>
      <c r="W43" s="518"/>
      <c r="X43" s="106">
        <v>23</v>
      </c>
    </row>
    <row r="44" spans="1:24" s="2" customFormat="1" x14ac:dyDescent="0.3">
      <c r="A44" s="509"/>
      <c r="B44" s="490"/>
      <c r="C44" s="490"/>
      <c r="D44" s="490"/>
      <c r="E44" s="490"/>
      <c r="F44" s="483"/>
      <c r="G44" s="494"/>
      <c r="H44" s="497"/>
      <c r="I44" s="500"/>
      <c r="J44" s="503"/>
      <c r="K44" s="506"/>
      <c r="L44" s="490"/>
      <c r="M44" s="490"/>
      <c r="N44" s="126">
        <v>45716</v>
      </c>
      <c r="O44" s="483"/>
      <c r="P44" s="127">
        <v>1450</v>
      </c>
      <c r="Q44" s="128">
        <v>45716</v>
      </c>
      <c r="R44" s="129"/>
      <c r="S44" s="127"/>
      <c r="T44" s="127"/>
      <c r="U44" s="497"/>
      <c r="V44" s="485"/>
      <c r="W44" s="519"/>
      <c r="X44" s="2">
        <v>23</v>
      </c>
    </row>
    <row r="45" spans="1:24" s="2" customFormat="1" x14ac:dyDescent="0.3">
      <c r="A45" s="509"/>
      <c r="B45" s="490"/>
      <c r="C45" s="490"/>
      <c r="D45" s="490"/>
      <c r="E45" s="490"/>
      <c r="F45" s="483"/>
      <c r="G45" s="494"/>
      <c r="H45" s="497"/>
      <c r="I45" s="500"/>
      <c r="J45" s="503"/>
      <c r="K45" s="506"/>
      <c r="L45" s="490"/>
      <c r="M45" s="490"/>
      <c r="N45" s="126">
        <v>45747</v>
      </c>
      <c r="O45" s="483"/>
      <c r="P45" s="127">
        <v>1450</v>
      </c>
      <c r="Q45" s="128">
        <v>45748</v>
      </c>
      <c r="R45" s="129"/>
      <c r="S45" s="127"/>
      <c r="T45" s="127"/>
      <c r="U45" s="497"/>
      <c r="V45" s="485"/>
      <c r="W45" s="519"/>
      <c r="X45" s="2">
        <v>23</v>
      </c>
    </row>
    <row r="46" spans="1:24" s="2" customFormat="1" x14ac:dyDescent="0.3">
      <c r="A46" s="509"/>
      <c r="B46" s="490"/>
      <c r="C46" s="490"/>
      <c r="D46" s="490"/>
      <c r="E46" s="490"/>
      <c r="F46" s="483"/>
      <c r="G46" s="494"/>
      <c r="H46" s="497"/>
      <c r="I46" s="500"/>
      <c r="J46" s="503"/>
      <c r="K46" s="506"/>
      <c r="L46" s="490"/>
      <c r="M46" s="490"/>
      <c r="N46" s="126">
        <v>45777</v>
      </c>
      <c r="O46" s="483"/>
      <c r="P46" s="127">
        <v>1450</v>
      </c>
      <c r="Q46" s="128">
        <v>45777</v>
      </c>
      <c r="R46" s="129"/>
      <c r="S46" s="127"/>
      <c r="T46" s="127"/>
      <c r="U46" s="497"/>
      <c r="V46" s="485"/>
      <c r="W46" s="519"/>
      <c r="X46" s="2">
        <v>23</v>
      </c>
    </row>
    <row r="47" spans="1:24" s="2" customFormat="1" x14ac:dyDescent="0.3">
      <c r="A47" s="542"/>
      <c r="B47" s="491"/>
      <c r="C47" s="491"/>
      <c r="D47" s="491"/>
      <c r="E47" s="491"/>
      <c r="F47" s="492"/>
      <c r="G47" s="495"/>
      <c r="H47" s="498"/>
      <c r="I47" s="501"/>
      <c r="J47" s="504"/>
      <c r="K47" s="507"/>
      <c r="L47" s="491"/>
      <c r="M47" s="491"/>
      <c r="N47" s="122">
        <v>45808</v>
      </c>
      <c r="O47" s="492"/>
      <c r="P47" s="123">
        <v>1450</v>
      </c>
      <c r="Q47" s="124">
        <v>45812</v>
      </c>
      <c r="R47" s="125"/>
      <c r="S47" s="123"/>
      <c r="T47" s="123"/>
      <c r="U47" s="498"/>
      <c r="V47" s="521"/>
      <c r="W47" s="520"/>
      <c r="X47" s="2">
        <v>23</v>
      </c>
    </row>
    <row r="48" spans="1:24" s="106" customFormat="1" ht="108" x14ac:dyDescent="0.3">
      <c r="A48" s="108">
        <v>7</v>
      </c>
      <c r="B48" s="109" t="s">
        <v>56</v>
      </c>
      <c r="C48" s="109" t="s">
        <v>146</v>
      </c>
      <c r="D48" s="109" t="s">
        <v>175</v>
      </c>
      <c r="E48" s="109" t="s">
        <v>201</v>
      </c>
      <c r="F48" s="117">
        <v>45654</v>
      </c>
      <c r="G48" s="110" t="s">
        <v>184</v>
      </c>
      <c r="H48" s="111">
        <v>9600</v>
      </c>
      <c r="I48" s="112">
        <f>IF(X48 = 24, H48 + SUM(S48:S48) - SUM(T48:T48) - SUM(P48:P48) - V48,0)</f>
        <v>7200</v>
      </c>
      <c r="J48" s="113">
        <v>2369000660</v>
      </c>
      <c r="K48" s="114" t="s">
        <v>157</v>
      </c>
      <c r="L48" s="109" t="s">
        <v>146</v>
      </c>
      <c r="M48" s="109"/>
      <c r="N48" s="117">
        <v>45747</v>
      </c>
      <c r="O48" s="117" t="s">
        <v>183</v>
      </c>
      <c r="P48" s="111">
        <v>2400</v>
      </c>
      <c r="Q48" s="110">
        <v>45748</v>
      </c>
      <c r="R48" s="109"/>
      <c r="S48" s="111"/>
      <c r="T48" s="111"/>
      <c r="U48" s="111"/>
      <c r="V48" s="115"/>
      <c r="W48" s="116"/>
      <c r="X48" s="106">
        <v>24</v>
      </c>
    </row>
    <row r="49" spans="1:24" s="106" customFormat="1" ht="131.25" customHeight="1" x14ac:dyDescent="0.3">
      <c r="A49" s="543">
        <v>8</v>
      </c>
      <c r="B49" s="571" t="s">
        <v>56</v>
      </c>
      <c r="C49" s="571" t="s">
        <v>146</v>
      </c>
      <c r="D49" s="571" t="s">
        <v>176</v>
      </c>
      <c r="E49" s="571" t="s">
        <v>110</v>
      </c>
      <c r="F49" s="486">
        <v>45654</v>
      </c>
      <c r="G49" s="580" t="s">
        <v>188</v>
      </c>
      <c r="H49" s="568">
        <v>30000</v>
      </c>
      <c r="I49" s="583">
        <f>IF(X49 = 25, H49 + SUM(S49:S53) - SUM(T49:T53) - SUM(P49:P53) - V49,0)</f>
        <v>17500</v>
      </c>
      <c r="J49" s="586">
        <v>231107998282</v>
      </c>
      <c r="K49" s="589" t="s">
        <v>187</v>
      </c>
      <c r="L49" s="571" t="s">
        <v>146</v>
      </c>
      <c r="M49" s="571"/>
      <c r="N49" s="277">
        <v>45688</v>
      </c>
      <c r="O49" s="486" t="s">
        <v>183</v>
      </c>
      <c r="P49" s="268">
        <v>2500</v>
      </c>
      <c r="Q49" s="269">
        <v>45693</v>
      </c>
      <c r="R49" s="270"/>
      <c r="S49" s="268"/>
      <c r="T49" s="268"/>
      <c r="U49" s="568"/>
      <c r="V49" s="574"/>
      <c r="W49" s="577"/>
      <c r="X49" s="106">
        <v>25</v>
      </c>
    </row>
    <row r="50" spans="1:24" s="2" customFormat="1" x14ac:dyDescent="0.3">
      <c r="A50" s="544"/>
      <c r="B50" s="572"/>
      <c r="C50" s="572"/>
      <c r="D50" s="572"/>
      <c r="E50" s="572"/>
      <c r="F50" s="487"/>
      <c r="G50" s="581"/>
      <c r="H50" s="569"/>
      <c r="I50" s="584"/>
      <c r="J50" s="587"/>
      <c r="K50" s="590"/>
      <c r="L50" s="572"/>
      <c r="M50" s="572"/>
      <c r="N50" s="278">
        <v>45716</v>
      </c>
      <c r="O50" s="487"/>
      <c r="P50" s="271">
        <v>2500</v>
      </c>
      <c r="Q50" s="272">
        <v>45716</v>
      </c>
      <c r="R50" s="273"/>
      <c r="S50" s="271"/>
      <c r="T50" s="271"/>
      <c r="U50" s="569"/>
      <c r="V50" s="575"/>
      <c r="W50" s="578"/>
      <c r="X50" s="2">
        <v>25</v>
      </c>
    </row>
    <row r="51" spans="1:24" s="2" customFormat="1" x14ac:dyDescent="0.3">
      <c r="A51" s="544"/>
      <c r="B51" s="572"/>
      <c r="C51" s="572"/>
      <c r="D51" s="572"/>
      <c r="E51" s="572"/>
      <c r="F51" s="487"/>
      <c r="G51" s="581"/>
      <c r="H51" s="569"/>
      <c r="I51" s="584"/>
      <c r="J51" s="587"/>
      <c r="K51" s="590"/>
      <c r="L51" s="572"/>
      <c r="M51" s="572"/>
      <c r="N51" s="278">
        <v>45747</v>
      </c>
      <c r="O51" s="487"/>
      <c r="P51" s="271">
        <v>2500</v>
      </c>
      <c r="Q51" s="272">
        <v>45748</v>
      </c>
      <c r="R51" s="273"/>
      <c r="S51" s="271"/>
      <c r="T51" s="271"/>
      <c r="U51" s="569"/>
      <c r="V51" s="575"/>
      <c r="W51" s="578"/>
      <c r="X51" s="2">
        <v>25</v>
      </c>
    </row>
    <row r="52" spans="1:24" s="2" customFormat="1" x14ac:dyDescent="0.3">
      <c r="A52" s="544"/>
      <c r="B52" s="572"/>
      <c r="C52" s="572"/>
      <c r="D52" s="572"/>
      <c r="E52" s="572"/>
      <c r="F52" s="487"/>
      <c r="G52" s="581"/>
      <c r="H52" s="569"/>
      <c r="I52" s="584"/>
      <c r="J52" s="587"/>
      <c r="K52" s="590"/>
      <c r="L52" s="572"/>
      <c r="M52" s="572"/>
      <c r="N52" s="278">
        <v>45777</v>
      </c>
      <c r="O52" s="487"/>
      <c r="P52" s="271">
        <v>2500</v>
      </c>
      <c r="Q52" s="272">
        <v>45777</v>
      </c>
      <c r="R52" s="273"/>
      <c r="S52" s="271"/>
      <c r="T52" s="271"/>
      <c r="U52" s="569"/>
      <c r="V52" s="575"/>
      <c r="W52" s="578"/>
      <c r="X52" s="2">
        <v>25</v>
      </c>
    </row>
    <row r="53" spans="1:24" s="2" customFormat="1" x14ac:dyDescent="0.3">
      <c r="A53" s="545"/>
      <c r="B53" s="573"/>
      <c r="C53" s="573"/>
      <c r="D53" s="573"/>
      <c r="E53" s="573"/>
      <c r="F53" s="488"/>
      <c r="G53" s="582"/>
      <c r="H53" s="570"/>
      <c r="I53" s="585"/>
      <c r="J53" s="588"/>
      <c r="K53" s="591"/>
      <c r="L53" s="573"/>
      <c r="M53" s="573"/>
      <c r="N53" s="279">
        <v>45808</v>
      </c>
      <c r="O53" s="488"/>
      <c r="P53" s="274">
        <v>2500</v>
      </c>
      <c r="Q53" s="275">
        <v>45812</v>
      </c>
      <c r="R53" s="276"/>
      <c r="S53" s="274"/>
      <c r="T53" s="274"/>
      <c r="U53" s="570"/>
      <c r="V53" s="576"/>
      <c r="W53" s="579"/>
      <c r="X53" s="2">
        <v>25</v>
      </c>
    </row>
    <row r="54" spans="1:24" s="106" customFormat="1" ht="90" customHeight="1" x14ac:dyDescent="0.3">
      <c r="A54" s="423">
        <v>9</v>
      </c>
      <c r="B54" s="415" t="s">
        <v>56</v>
      </c>
      <c r="C54" s="415" t="s">
        <v>146</v>
      </c>
      <c r="D54" s="415" t="s">
        <v>147</v>
      </c>
      <c r="E54" s="415" t="s">
        <v>112</v>
      </c>
      <c r="F54" s="417">
        <v>45654</v>
      </c>
      <c r="G54" s="460" t="s">
        <v>189</v>
      </c>
      <c r="H54" s="419">
        <v>195031.2</v>
      </c>
      <c r="I54" s="421">
        <f>IF(X54 = 26, H54 + SUM(S54:S68) - SUM(T54:T68) - SUM(P54:P68) - V54,0)</f>
        <v>55421.400000000023</v>
      </c>
      <c r="J54" s="512">
        <v>2353020735</v>
      </c>
      <c r="K54" s="515" t="s">
        <v>156</v>
      </c>
      <c r="L54" s="415" t="s">
        <v>146</v>
      </c>
      <c r="M54" s="415"/>
      <c r="N54" s="218">
        <v>45688</v>
      </c>
      <c r="O54" s="417" t="s">
        <v>183</v>
      </c>
      <c r="P54" s="209">
        <v>5812.8</v>
      </c>
      <c r="Q54" s="210">
        <v>45706</v>
      </c>
      <c r="R54" s="211"/>
      <c r="S54" s="209"/>
      <c r="T54" s="209"/>
      <c r="U54" s="419"/>
      <c r="V54" s="479"/>
      <c r="W54" s="413"/>
      <c r="X54" s="106">
        <v>26</v>
      </c>
    </row>
    <row r="55" spans="1:24" s="2" customFormat="1" x14ac:dyDescent="0.3">
      <c r="A55" s="478"/>
      <c r="B55" s="476"/>
      <c r="C55" s="476"/>
      <c r="D55" s="476"/>
      <c r="E55" s="476"/>
      <c r="F55" s="477"/>
      <c r="G55" s="461"/>
      <c r="H55" s="475"/>
      <c r="I55" s="511"/>
      <c r="J55" s="513"/>
      <c r="K55" s="516"/>
      <c r="L55" s="476"/>
      <c r="M55" s="476"/>
      <c r="N55" s="219">
        <v>45688</v>
      </c>
      <c r="O55" s="477"/>
      <c r="P55" s="212">
        <v>1960</v>
      </c>
      <c r="Q55" s="213">
        <v>45706</v>
      </c>
      <c r="R55" s="214"/>
      <c r="S55" s="212"/>
      <c r="T55" s="212"/>
      <c r="U55" s="475"/>
      <c r="V55" s="480"/>
      <c r="W55" s="510"/>
      <c r="X55" s="2">
        <v>26</v>
      </c>
    </row>
    <row r="56" spans="1:24" s="2" customFormat="1" x14ac:dyDescent="0.3">
      <c r="A56" s="478"/>
      <c r="B56" s="476"/>
      <c r="C56" s="476"/>
      <c r="D56" s="476"/>
      <c r="E56" s="476"/>
      <c r="F56" s="477"/>
      <c r="G56" s="461"/>
      <c r="H56" s="475"/>
      <c r="I56" s="511"/>
      <c r="J56" s="513"/>
      <c r="K56" s="516"/>
      <c r="L56" s="476"/>
      <c r="M56" s="476"/>
      <c r="N56" s="219">
        <v>45688</v>
      </c>
      <c r="O56" s="477"/>
      <c r="P56" s="212">
        <v>10570</v>
      </c>
      <c r="Q56" s="213">
        <v>45706</v>
      </c>
      <c r="R56" s="214"/>
      <c r="S56" s="212"/>
      <c r="T56" s="212"/>
      <c r="U56" s="475"/>
      <c r="V56" s="480"/>
      <c r="W56" s="510"/>
      <c r="X56" s="2">
        <v>26</v>
      </c>
    </row>
    <row r="57" spans="1:24" s="2" customFormat="1" x14ac:dyDescent="0.3">
      <c r="A57" s="478"/>
      <c r="B57" s="476"/>
      <c r="C57" s="476"/>
      <c r="D57" s="476"/>
      <c r="E57" s="476"/>
      <c r="F57" s="477"/>
      <c r="G57" s="461"/>
      <c r="H57" s="475"/>
      <c r="I57" s="511"/>
      <c r="J57" s="513"/>
      <c r="K57" s="516"/>
      <c r="L57" s="476"/>
      <c r="M57" s="476"/>
      <c r="N57" s="219">
        <v>45688</v>
      </c>
      <c r="O57" s="477"/>
      <c r="P57" s="212">
        <v>17267.490000000002</v>
      </c>
      <c r="Q57" s="213">
        <v>45706</v>
      </c>
      <c r="R57" s="214"/>
      <c r="S57" s="212"/>
      <c r="T57" s="212"/>
      <c r="U57" s="475"/>
      <c r="V57" s="480"/>
      <c r="W57" s="510"/>
      <c r="X57" s="2">
        <v>26</v>
      </c>
    </row>
    <row r="58" spans="1:24" s="2" customFormat="1" x14ac:dyDescent="0.3">
      <c r="A58" s="478"/>
      <c r="B58" s="476"/>
      <c r="C58" s="476"/>
      <c r="D58" s="476"/>
      <c r="E58" s="476"/>
      <c r="F58" s="477"/>
      <c r="G58" s="461"/>
      <c r="H58" s="475"/>
      <c r="I58" s="511"/>
      <c r="J58" s="513"/>
      <c r="K58" s="516"/>
      <c r="L58" s="476"/>
      <c r="M58" s="476"/>
      <c r="N58" s="219">
        <v>45688</v>
      </c>
      <c r="O58" s="477"/>
      <c r="P58" s="212">
        <v>14128.11</v>
      </c>
      <c r="Q58" s="213">
        <v>45706</v>
      </c>
      <c r="R58" s="214"/>
      <c r="S58" s="212"/>
      <c r="T58" s="212"/>
      <c r="U58" s="475"/>
      <c r="V58" s="480"/>
      <c r="W58" s="510"/>
      <c r="X58" s="2">
        <v>26</v>
      </c>
    </row>
    <row r="59" spans="1:24" s="2" customFormat="1" x14ac:dyDescent="0.3">
      <c r="A59" s="478"/>
      <c r="B59" s="476"/>
      <c r="C59" s="476"/>
      <c r="D59" s="476"/>
      <c r="E59" s="476"/>
      <c r="F59" s="477"/>
      <c r="G59" s="461"/>
      <c r="H59" s="475"/>
      <c r="I59" s="511"/>
      <c r="J59" s="513"/>
      <c r="K59" s="516"/>
      <c r="L59" s="476"/>
      <c r="M59" s="476"/>
      <c r="N59" s="219">
        <v>45716</v>
      </c>
      <c r="O59" s="477"/>
      <c r="P59" s="212">
        <v>6228</v>
      </c>
      <c r="Q59" s="213">
        <v>45730</v>
      </c>
      <c r="R59" s="214"/>
      <c r="S59" s="212"/>
      <c r="T59" s="212"/>
      <c r="U59" s="475"/>
      <c r="V59" s="480"/>
      <c r="W59" s="510"/>
      <c r="X59" s="2">
        <v>26</v>
      </c>
    </row>
    <row r="60" spans="1:24" s="2" customFormat="1" x14ac:dyDescent="0.3">
      <c r="A60" s="478"/>
      <c r="B60" s="476"/>
      <c r="C60" s="476"/>
      <c r="D60" s="476"/>
      <c r="E60" s="476"/>
      <c r="F60" s="477"/>
      <c r="G60" s="461"/>
      <c r="H60" s="475"/>
      <c r="I60" s="511"/>
      <c r="J60" s="513"/>
      <c r="K60" s="516"/>
      <c r="L60" s="476"/>
      <c r="M60" s="476"/>
      <c r="N60" s="219">
        <v>45716</v>
      </c>
      <c r="O60" s="477"/>
      <c r="P60" s="212">
        <v>2100</v>
      </c>
      <c r="Q60" s="213">
        <v>45730</v>
      </c>
      <c r="R60" s="214"/>
      <c r="S60" s="212"/>
      <c r="T60" s="212"/>
      <c r="U60" s="475"/>
      <c r="V60" s="480"/>
      <c r="W60" s="510"/>
      <c r="X60" s="2">
        <v>26</v>
      </c>
    </row>
    <row r="61" spans="1:24" s="2" customFormat="1" x14ac:dyDescent="0.3">
      <c r="A61" s="478"/>
      <c r="B61" s="476"/>
      <c r="C61" s="476"/>
      <c r="D61" s="476"/>
      <c r="E61" s="476"/>
      <c r="F61" s="477"/>
      <c r="G61" s="461"/>
      <c r="H61" s="475"/>
      <c r="I61" s="511"/>
      <c r="J61" s="513"/>
      <c r="K61" s="516"/>
      <c r="L61" s="476"/>
      <c r="M61" s="476"/>
      <c r="N61" s="219">
        <v>45716</v>
      </c>
      <c r="O61" s="477"/>
      <c r="P61" s="212">
        <v>9590</v>
      </c>
      <c r="Q61" s="213">
        <v>45730</v>
      </c>
      <c r="R61" s="214"/>
      <c r="S61" s="212"/>
      <c r="T61" s="212"/>
      <c r="U61" s="475"/>
      <c r="V61" s="480"/>
      <c r="W61" s="510"/>
      <c r="X61" s="2">
        <v>26</v>
      </c>
    </row>
    <row r="62" spans="1:24" s="2" customFormat="1" x14ac:dyDescent="0.3">
      <c r="A62" s="478"/>
      <c r="B62" s="476"/>
      <c r="C62" s="476"/>
      <c r="D62" s="476"/>
      <c r="E62" s="476"/>
      <c r="F62" s="477"/>
      <c r="G62" s="461"/>
      <c r="H62" s="475"/>
      <c r="I62" s="511"/>
      <c r="J62" s="513"/>
      <c r="K62" s="516"/>
      <c r="L62" s="476"/>
      <c r="M62" s="476"/>
      <c r="N62" s="219">
        <v>45716</v>
      </c>
      <c r="O62" s="477"/>
      <c r="P62" s="212">
        <v>15661.72</v>
      </c>
      <c r="Q62" s="213">
        <v>45730</v>
      </c>
      <c r="R62" s="214"/>
      <c r="S62" s="212"/>
      <c r="T62" s="212"/>
      <c r="U62" s="475"/>
      <c r="V62" s="480"/>
      <c r="W62" s="510"/>
      <c r="X62" s="2">
        <v>26</v>
      </c>
    </row>
    <row r="63" spans="1:24" s="2" customFormat="1" x14ac:dyDescent="0.3">
      <c r="A63" s="478"/>
      <c r="B63" s="476"/>
      <c r="C63" s="476"/>
      <c r="D63" s="476"/>
      <c r="E63" s="476"/>
      <c r="F63" s="477"/>
      <c r="G63" s="461"/>
      <c r="H63" s="475"/>
      <c r="I63" s="511"/>
      <c r="J63" s="513"/>
      <c r="K63" s="516"/>
      <c r="L63" s="476"/>
      <c r="M63" s="476"/>
      <c r="N63" s="219">
        <v>45716</v>
      </c>
      <c r="O63" s="477"/>
      <c r="P63" s="212">
        <v>12814.28</v>
      </c>
      <c r="Q63" s="213">
        <v>45730</v>
      </c>
      <c r="R63" s="214"/>
      <c r="S63" s="212"/>
      <c r="T63" s="212"/>
      <c r="U63" s="475"/>
      <c r="V63" s="480"/>
      <c r="W63" s="510"/>
      <c r="X63" s="2">
        <v>26</v>
      </c>
    </row>
    <row r="64" spans="1:24" s="2" customFormat="1" x14ac:dyDescent="0.3">
      <c r="A64" s="478"/>
      <c r="B64" s="476"/>
      <c r="C64" s="476"/>
      <c r="D64" s="476"/>
      <c r="E64" s="476"/>
      <c r="F64" s="477"/>
      <c r="G64" s="461"/>
      <c r="H64" s="475"/>
      <c r="I64" s="511"/>
      <c r="J64" s="513"/>
      <c r="K64" s="516"/>
      <c r="L64" s="476"/>
      <c r="M64" s="476"/>
      <c r="N64" s="219">
        <v>45747</v>
      </c>
      <c r="O64" s="477"/>
      <c r="P64" s="212">
        <v>6228</v>
      </c>
      <c r="Q64" s="213">
        <v>45761</v>
      </c>
      <c r="R64" s="214"/>
      <c r="S64" s="212"/>
      <c r="T64" s="212"/>
      <c r="U64" s="475"/>
      <c r="V64" s="480"/>
      <c r="W64" s="510"/>
      <c r="X64" s="2">
        <v>26</v>
      </c>
    </row>
    <row r="65" spans="1:24" s="2" customFormat="1" x14ac:dyDescent="0.3">
      <c r="A65" s="478"/>
      <c r="B65" s="476"/>
      <c r="C65" s="476"/>
      <c r="D65" s="476"/>
      <c r="E65" s="476"/>
      <c r="F65" s="477"/>
      <c r="G65" s="461"/>
      <c r="H65" s="475"/>
      <c r="I65" s="511"/>
      <c r="J65" s="513"/>
      <c r="K65" s="516"/>
      <c r="L65" s="476"/>
      <c r="M65" s="476"/>
      <c r="N65" s="219">
        <v>45747</v>
      </c>
      <c r="O65" s="477"/>
      <c r="P65" s="212">
        <v>2100</v>
      </c>
      <c r="Q65" s="213">
        <v>45761</v>
      </c>
      <c r="R65" s="214"/>
      <c r="S65" s="212"/>
      <c r="T65" s="212"/>
      <c r="U65" s="475"/>
      <c r="V65" s="480"/>
      <c r="W65" s="510"/>
      <c r="X65" s="2">
        <v>26</v>
      </c>
    </row>
    <row r="66" spans="1:24" s="2" customFormat="1" x14ac:dyDescent="0.3">
      <c r="A66" s="478"/>
      <c r="B66" s="476"/>
      <c r="C66" s="476"/>
      <c r="D66" s="476"/>
      <c r="E66" s="476"/>
      <c r="F66" s="477"/>
      <c r="G66" s="461"/>
      <c r="H66" s="475"/>
      <c r="I66" s="511"/>
      <c r="J66" s="513"/>
      <c r="K66" s="516"/>
      <c r="L66" s="476"/>
      <c r="M66" s="476"/>
      <c r="N66" s="219">
        <v>45747</v>
      </c>
      <c r="O66" s="477"/>
      <c r="P66" s="212">
        <v>14461.85</v>
      </c>
      <c r="Q66" s="213">
        <v>45761</v>
      </c>
      <c r="R66" s="214"/>
      <c r="S66" s="212"/>
      <c r="T66" s="212"/>
      <c r="U66" s="475"/>
      <c r="V66" s="480"/>
      <c r="W66" s="510"/>
      <c r="X66" s="2">
        <v>26</v>
      </c>
    </row>
    <row r="67" spans="1:24" s="2" customFormat="1" x14ac:dyDescent="0.3">
      <c r="A67" s="478"/>
      <c r="B67" s="476"/>
      <c r="C67" s="476"/>
      <c r="D67" s="476"/>
      <c r="E67" s="476"/>
      <c r="F67" s="477"/>
      <c r="G67" s="461"/>
      <c r="H67" s="475"/>
      <c r="I67" s="511"/>
      <c r="J67" s="513"/>
      <c r="K67" s="516"/>
      <c r="L67" s="476"/>
      <c r="M67" s="476"/>
      <c r="N67" s="219">
        <v>45747</v>
      </c>
      <c r="O67" s="477"/>
      <c r="P67" s="212">
        <v>11832.55</v>
      </c>
      <c r="Q67" s="213">
        <v>45761</v>
      </c>
      <c r="R67" s="214"/>
      <c r="S67" s="212"/>
      <c r="T67" s="212"/>
      <c r="U67" s="475"/>
      <c r="V67" s="480"/>
      <c r="W67" s="510"/>
      <c r="X67" s="2">
        <v>26</v>
      </c>
    </row>
    <row r="68" spans="1:24" s="2" customFormat="1" x14ac:dyDescent="0.3">
      <c r="A68" s="424"/>
      <c r="B68" s="416"/>
      <c r="C68" s="416"/>
      <c r="D68" s="416"/>
      <c r="E68" s="416"/>
      <c r="F68" s="418"/>
      <c r="G68" s="462"/>
      <c r="H68" s="420"/>
      <c r="I68" s="422"/>
      <c r="J68" s="514"/>
      <c r="K68" s="517"/>
      <c r="L68" s="416"/>
      <c r="M68" s="416"/>
      <c r="N68" s="219">
        <v>45747</v>
      </c>
      <c r="O68" s="418"/>
      <c r="P68" s="215">
        <v>8855</v>
      </c>
      <c r="Q68" s="213">
        <v>45761</v>
      </c>
      <c r="R68" s="217"/>
      <c r="S68" s="215"/>
      <c r="T68" s="215"/>
      <c r="U68" s="420"/>
      <c r="V68" s="481"/>
      <c r="W68" s="414"/>
      <c r="X68" s="2">
        <v>26</v>
      </c>
    </row>
    <row r="69" spans="1:24" s="106" customFormat="1" ht="90" customHeight="1" x14ac:dyDescent="0.3">
      <c r="A69" s="423">
        <v>10</v>
      </c>
      <c r="B69" s="415" t="s">
        <v>56</v>
      </c>
      <c r="C69" s="415" t="s">
        <v>146</v>
      </c>
      <c r="D69" s="415" t="s">
        <v>147</v>
      </c>
      <c r="E69" s="415" t="s">
        <v>113</v>
      </c>
      <c r="F69" s="417">
        <v>45654</v>
      </c>
      <c r="G69" s="460" t="s">
        <v>198</v>
      </c>
      <c r="H69" s="419">
        <v>488488</v>
      </c>
      <c r="I69" s="421">
        <f>IF(X69 = 27, H69 + SUM(S69:S71) - SUM(T69:T71) - SUM(P69:P71) - V69,0)</f>
        <v>106876</v>
      </c>
      <c r="J69" s="512">
        <v>2353020735</v>
      </c>
      <c r="K69" s="515" t="s">
        <v>156</v>
      </c>
      <c r="L69" s="415" t="s">
        <v>146</v>
      </c>
      <c r="M69" s="415"/>
      <c r="N69" s="218">
        <v>45688</v>
      </c>
      <c r="O69" s="417" t="s">
        <v>164</v>
      </c>
      <c r="P69" s="209">
        <v>123508</v>
      </c>
      <c r="Q69" s="210">
        <v>45706</v>
      </c>
      <c r="R69" s="211"/>
      <c r="S69" s="209"/>
      <c r="T69" s="209"/>
      <c r="U69" s="419"/>
      <c r="V69" s="479"/>
      <c r="W69" s="413"/>
      <c r="X69" s="106">
        <v>27</v>
      </c>
    </row>
    <row r="70" spans="1:24" s="2" customFormat="1" x14ac:dyDescent="0.3">
      <c r="A70" s="478"/>
      <c r="B70" s="476"/>
      <c r="C70" s="476"/>
      <c r="D70" s="476"/>
      <c r="E70" s="476"/>
      <c r="F70" s="477"/>
      <c r="G70" s="461"/>
      <c r="H70" s="475"/>
      <c r="I70" s="511"/>
      <c r="J70" s="513"/>
      <c r="K70" s="516"/>
      <c r="L70" s="476"/>
      <c r="M70" s="476"/>
      <c r="N70" s="219">
        <v>45716</v>
      </c>
      <c r="O70" s="477"/>
      <c r="P70" s="212">
        <v>135212</v>
      </c>
      <c r="Q70" s="213">
        <v>45730</v>
      </c>
      <c r="R70" s="214"/>
      <c r="S70" s="212"/>
      <c r="T70" s="212"/>
      <c r="U70" s="475"/>
      <c r="V70" s="480"/>
      <c r="W70" s="510"/>
      <c r="X70" s="2">
        <v>27</v>
      </c>
    </row>
    <row r="71" spans="1:24" s="2" customFormat="1" x14ac:dyDescent="0.3">
      <c r="A71" s="424"/>
      <c r="B71" s="416"/>
      <c r="C71" s="416"/>
      <c r="D71" s="416"/>
      <c r="E71" s="416"/>
      <c r="F71" s="418"/>
      <c r="G71" s="462"/>
      <c r="H71" s="420"/>
      <c r="I71" s="422"/>
      <c r="J71" s="514"/>
      <c r="K71" s="517"/>
      <c r="L71" s="416"/>
      <c r="M71" s="416"/>
      <c r="N71" s="220">
        <v>45747</v>
      </c>
      <c r="O71" s="418"/>
      <c r="P71" s="215">
        <v>122892</v>
      </c>
      <c r="Q71" s="216">
        <v>45761</v>
      </c>
      <c r="R71" s="217"/>
      <c r="S71" s="215"/>
      <c r="T71" s="215"/>
      <c r="U71" s="420"/>
      <c r="V71" s="481"/>
      <c r="W71" s="414"/>
      <c r="X71" s="2">
        <v>27</v>
      </c>
    </row>
    <row r="72" spans="1:24" s="106" customFormat="1" ht="162" customHeight="1" x14ac:dyDescent="0.3">
      <c r="A72" s="385">
        <v>11</v>
      </c>
      <c r="B72" s="377" t="s">
        <v>56</v>
      </c>
      <c r="C72" s="377" t="s">
        <v>146</v>
      </c>
      <c r="D72" s="377" t="s">
        <v>147</v>
      </c>
      <c r="E72" s="377" t="s">
        <v>202</v>
      </c>
      <c r="F72" s="379">
        <v>45677</v>
      </c>
      <c r="G72" s="434" t="s">
        <v>190</v>
      </c>
      <c r="H72" s="381">
        <v>246840</v>
      </c>
      <c r="I72" s="383">
        <f>IF(X72 = 28, H72 + SUM(S72:S86) - SUM(T72:T86) - SUM(P72:P86) - V72,0)</f>
        <v>171090</v>
      </c>
      <c r="J72" s="436">
        <v>235305769122</v>
      </c>
      <c r="K72" s="438" t="s">
        <v>159</v>
      </c>
      <c r="L72" s="377" t="s">
        <v>146</v>
      </c>
      <c r="M72" s="377"/>
      <c r="N72" s="286">
        <v>45688</v>
      </c>
      <c r="O72" s="379" t="s">
        <v>183</v>
      </c>
      <c r="P72" s="280">
        <v>8680</v>
      </c>
      <c r="Q72" s="281">
        <v>45702</v>
      </c>
      <c r="R72" s="282"/>
      <c r="S72" s="280"/>
      <c r="T72" s="280"/>
      <c r="U72" s="381"/>
      <c r="V72" s="432"/>
      <c r="W72" s="375"/>
      <c r="X72" s="106">
        <v>28</v>
      </c>
    </row>
    <row r="73" spans="1:24" s="2" customFormat="1" x14ac:dyDescent="0.3">
      <c r="A73" s="440"/>
      <c r="B73" s="443"/>
      <c r="C73" s="443"/>
      <c r="D73" s="443"/>
      <c r="E73" s="443"/>
      <c r="F73" s="441"/>
      <c r="G73" s="446"/>
      <c r="H73" s="442"/>
      <c r="I73" s="447"/>
      <c r="J73" s="448"/>
      <c r="K73" s="449"/>
      <c r="L73" s="443"/>
      <c r="M73" s="443"/>
      <c r="N73" s="290">
        <v>45688</v>
      </c>
      <c r="O73" s="441"/>
      <c r="P73" s="291">
        <v>2890</v>
      </c>
      <c r="Q73" s="292">
        <v>45702</v>
      </c>
      <c r="R73" s="293"/>
      <c r="S73" s="291"/>
      <c r="T73" s="291"/>
      <c r="U73" s="442"/>
      <c r="V73" s="444"/>
      <c r="W73" s="445"/>
      <c r="X73" s="2">
        <v>28</v>
      </c>
    </row>
    <row r="74" spans="1:24" s="2" customFormat="1" x14ac:dyDescent="0.3">
      <c r="A74" s="440"/>
      <c r="B74" s="443"/>
      <c r="C74" s="443"/>
      <c r="D74" s="443"/>
      <c r="E74" s="443"/>
      <c r="F74" s="441"/>
      <c r="G74" s="446"/>
      <c r="H74" s="442"/>
      <c r="I74" s="447"/>
      <c r="J74" s="448"/>
      <c r="K74" s="449"/>
      <c r="L74" s="443"/>
      <c r="M74" s="443"/>
      <c r="N74" s="290">
        <v>45688</v>
      </c>
      <c r="O74" s="441"/>
      <c r="P74" s="291">
        <v>2550</v>
      </c>
      <c r="Q74" s="292">
        <v>45702</v>
      </c>
      <c r="R74" s="293"/>
      <c r="S74" s="291"/>
      <c r="T74" s="291"/>
      <c r="U74" s="442"/>
      <c r="V74" s="444"/>
      <c r="W74" s="445"/>
      <c r="X74" s="2">
        <v>28</v>
      </c>
    </row>
    <row r="75" spans="1:24" s="2" customFormat="1" x14ac:dyDescent="0.3">
      <c r="A75" s="440"/>
      <c r="B75" s="443"/>
      <c r="C75" s="443"/>
      <c r="D75" s="443"/>
      <c r="E75" s="443"/>
      <c r="F75" s="441"/>
      <c r="G75" s="446"/>
      <c r="H75" s="442"/>
      <c r="I75" s="447"/>
      <c r="J75" s="448"/>
      <c r="K75" s="449"/>
      <c r="L75" s="443"/>
      <c r="M75" s="443"/>
      <c r="N75" s="290">
        <v>45716</v>
      </c>
      <c r="O75" s="441"/>
      <c r="P75" s="291">
        <v>3000</v>
      </c>
      <c r="Q75" s="292">
        <v>45727</v>
      </c>
      <c r="R75" s="293"/>
      <c r="S75" s="291"/>
      <c r="T75" s="291"/>
      <c r="U75" s="442"/>
      <c r="V75" s="444"/>
      <c r="W75" s="445"/>
      <c r="X75" s="2">
        <v>28</v>
      </c>
    </row>
    <row r="76" spans="1:24" s="2" customFormat="1" x14ac:dyDescent="0.3">
      <c r="A76" s="440"/>
      <c r="B76" s="443"/>
      <c r="C76" s="443"/>
      <c r="D76" s="443"/>
      <c r="E76" s="443"/>
      <c r="F76" s="441"/>
      <c r="G76" s="446"/>
      <c r="H76" s="442"/>
      <c r="I76" s="447"/>
      <c r="J76" s="448"/>
      <c r="K76" s="449"/>
      <c r="L76" s="443"/>
      <c r="M76" s="443"/>
      <c r="N76" s="290">
        <v>45716</v>
      </c>
      <c r="O76" s="441"/>
      <c r="P76" s="291">
        <v>7840</v>
      </c>
      <c r="Q76" s="292">
        <v>45727</v>
      </c>
      <c r="R76" s="293"/>
      <c r="S76" s="291"/>
      <c r="T76" s="291"/>
      <c r="U76" s="442"/>
      <c r="V76" s="444"/>
      <c r="W76" s="445"/>
      <c r="X76" s="2">
        <v>28</v>
      </c>
    </row>
    <row r="77" spans="1:24" s="2" customFormat="1" x14ac:dyDescent="0.3">
      <c r="A77" s="440"/>
      <c r="B77" s="443"/>
      <c r="C77" s="443"/>
      <c r="D77" s="443"/>
      <c r="E77" s="443"/>
      <c r="F77" s="441"/>
      <c r="G77" s="446"/>
      <c r="H77" s="442"/>
      <c r="I77" s="447"/>
      <c r="J77" s="448"/>
      <c r="K77" s="449"/>
      <c r="L77" s="443"/>
      <c r="M77" s="443"/>
      <c r="N77" s="290">
        <v>45716</v>
      </c>
      <c r="O77" s="441"/>
      <c r="P77" s="291">
        <v>3400</v>
      </c>
      <c r="Q77" s="292">
        <v>45727</v>
      </c>
      <c r="R77" s="293"/>
      <c r="S77" s="291"/>
      <c r="T77" s="291"/>
      <c r="U77" s="442"/>
      <c r="V77" s="444"/>
      <c r="W77" s="445"/>
      <c r="X77" s="2">
        <v>28</v>
      </c>
    </row>
    <row r="78" spans="1:24" s="2" customFormat="1" x14ac:dyDescent="0.3">
      <c r="A78" s="440"/>
      <c r="B78" s="443"/>
      <c r="C78" s="443"/>
      <c r="D78" s="443"/>
      <c r="E78" s="443"/>
      <c r="F78" s="441"/>
      <c r="G78" s="446"/>
      <c r="H78" s="442"/>
      <c r="I78" s="447"/>
      <c r="J78" s="448"/>
      <c r="K78" s="449"/>
      <c r="L78" s="443"/>
      <c r="M78" s="443"/>
      <c r="N78" s="290">
        <v>45747</v>
      </c>
      <c r="O78" s="441"/>
      <c r="P78" s="291">
        <v>2400</v>
      </c>
      <c r="Q78" s="292">
        <v>45755</v>
      </c>
      <c r="R78" s="293"/>
      <c r="S78" s="291"/>
      <c r="T78" s="291"/>
      <c r="U78" s="442"/>
      <c r="V78" s="444"/>
      <c r="W78" s="445"/>
      <c r="X78" s="2">
        <v>28</v>
      </c>
    </row>
    <row r="79" spans="1:24" s="2" customFormat="1" x14ac:dyDescent="0.3">
      <c r="A79" s="440"/>
      <c r="B79" s="443"/>
      <c r="C79" s="443"/>
      <c r="D79" s="443"/>
      <c r="E79" s="443"/>
      <c r="F79" s="441"/>
      <c r="G79" s="446"/>
      <c r="H79" s="442"/>
      <c r="I79" s="447"/>
      <c r="J79" s="448"/>
      <c r="K79" s="449"/>
      <c r="L79" s="443"/>
      <c r="M79" s="443"/>
      <c r="N79" s="290">
        <v>45747</v>
      </c>
      <c r="O79" s="441"/>
      <c r="P79" s="291">
        <v>2720</v>
      </c>
      <c r="Q79" s="292">
        <v>45755</v>
      </c>
      <c r="R79" s="293"/>
      <c r="S79" s="291"/>
      <c r="T79" s="291"/>
      <c r="U79" s="442"/>
      <c r="V79" s="444"/>
      <c r="W79" s="445"/>
      <c r="X79" s="2">
        <v>28</v>
      </c>
    </row>
    <row r="80" spans="1:24" s="2" customFormat="1" x14ac:dyDescent="0.3">
      <c r="A80" s="440"/>
      <c r="B80" s="443"/>
      <c r="C80" s="443"/>
      <c r="D80" s="443"/>
      <c r="E80" s="443"/>
      <c r="F80" s="441"/>
      <c r="G80" s="446"/>
      <c r="H80" s="442"/>
      <c r="I80" s="447"/>
      <c r="J80" s="448"/>
      <c r="K80" s="449"/>
      <c r="L80" s="443"/>
      <c r="M80" s="443"/>
      <c r="N80" s="290">
        <v>45747</v>
      </c>
      <c r="O80" s="441"/>
      <c r="P80" s="291">
        <v>8540</v>
      </c>
      <c r="Q80" s="292">
        <v>45755</v>
      </c>
      <c r="R80" s="293"/>
      <c r="S80" s="291"/>
      <c r="T80" s="291"/>
      <c r="U80" s="442"/>
      <c r="V80" s="444"/>
      <c r="W80" s="445"/>
      <c r="X80" s="2">
        <v>28</v>
      </c>
    </row>
    <row r="81" spans="1:24" s="2" customFormat="1" x14ac:dyDescent="0.3">
      <c r="A81" s="440"/>
      <c r="B81" s="443"/>
      <c r="C81" s="443"/>
      <c r="D81" s="443"/>
      <c r="E81" s="443"/>
      <c r="F81" s="441"/>
      <c r="G81" s="446"/>
      <c r="H81" s="442"/>
      <c r="I81" s="447"/>
      <c r="J81" s="448"/>
      <c r="K81" s="449"/>
      <c r="L81" s="443"/>
      <c r="M81" s="443"/>
      <c r="N81" s="290">
        <v>45777</v>
      </c>
      <c r="O81" s="441"/>
      <c r="P81" s="291">
        <v>3150</v>
      </c>
      <c r="Q81" s="292">
        <v>45789</v>
      </c>
      <c r="R81" s="293"/>
      <c r="S81" s="291"/>
      <c r="T81" s="291"/>
      <c r="U81" s="442"/>
      <c r="V81" s="444"/>
      <c r="W81" s="445"/>
      <c r="X81" s="2">
        <v>28</v>
      </c>
    </row>
    <row r="82" spans="1:24" s="2" customFormat="1" x14ac:dyDescent="0.3">
      <c r="A82" s="440"/>
      <c r="B82" s="443"/>
      <c r="C82" s="443"/>
      <c r="D82" s="443"/>
      <c r="E82" s="443"/>
      <c r="F82" s="441"/>
      <c r="G82" s="446"/>
      <c r="H82" s="442"/>
      <c r="I82" s="447"/>
      <c r="J82" s="448"/>
      <c r="K82" s="449"/>
      <c r="L82" s="443"/>
      <c r="M82" s="443"/>
      <c r="N82" s="290">
        <v>45777</v>
      </c>
      <c r="O82" s="441"/>
      <c r="P82" s="291">
        <v>3570</v>
      </c>
      <c r="Q82" s="292">
        <v>45789</v>
      </c>
      <c r="R82" s="293"/>
      <c r="S82" s="291"/>
      <c r="T82" s="291"/>
      <c r="U82" s="442"/>
      <c r="V82" s="444"/>
      <c r="W82" s="445"/>
      <c r="X82" s="2">
        <v>28</v>
      </c>
    </row>
    <row r="83" spans="1:24" s="2" customFormat="1" x14ac:dyDescent="0.3">
      <c r="A83" s="440"/>
      <c r="B83" s="443"/>
      <c r="C83" s="443"/>
      <c r="D83" s="443"/>
      <c r="E83" s="443"/>
      <c r="F83" s="441"/>
      <c r="G83" s="446"/>
      <c r="H83" s="442"/>
      <c r="I83" s="447"/>
      <c r="J83" s="448"/>
      <c r="K83" s="449"/>
      <c r="L83" s="443"/>
      <c r="M83" s="443"/>
      <c r="N83" s="290">
        <v>45777</v>
      </c>
      <c r="O83" s="441"/>
      <c r="P83" s="291">
        <v>8400</v>
      </c>
      <c r="Q83" s="292">
        <v>45789</v>
      </c>
      <c r="R83" s="293"/>
      <c r="S83" s="291"/>
      <c r="T83" s="291"/>
      <c r="U83" s="442"/>
      <c r="V83" s="444"/>
      <c r="W83" s="445"/>
      <c r="X83" s="2">
        <v>28</v>
      </c>
    </row>
    <row r="84" spans="1:24" s="2" customFormat="1" x14ac:dyDescent="0.3">
      <c r="A84" s="440"/>
      <c r="B84" s="443"/>
      <c r="C84" s="443"/>
      <c r="D84" s="443"/>
      <c r="E84" s="443"/>
      <c r="F84" s="441"/>
      <c r="G84" s="446"/>
      <c r="H84" s="442"/>
      <c r="I84" s="447"/>
      <c r="J84" s="448"/>
      <c r="K84" s="449"/>
      <c r="L84" s="443"/>
      <c r="M84" s="443"/>
      <c r="N84" s="290">
        <v>45808</v>
      </c>
      <c r="O84" s="441"/>
      <c r="P84" s="291">
        <v>5270</v>
      </c>
      <c r="Q84" s="292">
        <v>45832</v>
      </c>
      <c r="R84" s="293"/>
      <c r="S84" s="291"/>
      <c r="T84" s="291"/>
      <c r="U84" s="442"/>
      <c r="V84" s="444"/>
      <c r="W84" s="445"/>
      <c r="X84" s="2">
        <v>28</v>
      </c>
    </row>
    <row r="85" spans="1:24" s="2" customFormat="1" x14ac:dyDescent="0.3">
      <c r="A85" s="440"/>
      <c r="B85" s="443"/>
      <c r="C85" s="443"/>
      <c r="D85" s="443"/>
      <c r="E85" s="443"/>
      <c r="F85" s="441"/>
      <c r="G85" s="446"/>
      <c r="H85" s="442"/>
      <c r="I85" s="447"/>
      <c r="J85" s="448"/>
      <c r="K85" s="449"/>
      <c r="L85" s="443"/>
      <c r="M85" s="443"/>
      <c r="N85" s="290">
        <v>45808</v>
      </c>
      <c r="O85" s="441"/>
      <c r="P85" s="291">
        <v>4800</v>
      </c>
      <c r="Q85" s="292">
        <v>45832</v>
      </c>
      <c r="R85" s="293"/>
      <c r="S85" s="291"/>
      <c r="T85" s="291"/>
      <c r="U85" s="442"/>
      <c r="V85" s="444"/>
      <c r="W85" s="445"/>
      <c r="X85" s="2">
        <v>28</v>
      </c>
    </row>
    <row r="86" spans="1:24" s="2" customFormat="1" x14ac:dyDescent="0.3">
      <c r="A86" s="386"/>
      <c r="B86" s="378"/>
      <c r="C86" s="378"/>
      <c r="D86" s="378"/>
      <c r="E86" s="378"/>
      <c r="F86" s="380"/>
      <c r="G86" s="435"/>
      <c r="H86" s="382"/>
      <c r="I86" s="384"/>
      <c r="J86" s="437"/>
      <c r="K86" s="439"/>
      <c r="L86" s="378"/>
      <c r="M86" s="378"/>
      <c r="N86" s="287">
        <v>45808</v>
      </c>
      <c r="O86" s="380"/>
      <c r="P86" s="283">
        <v>8540</v>
      </c>
      <c r="Q86" s="284">
        <v>45832</v>
      </c>
      <c r="R86" s="285"/>
      <c r="S86" s="283"/>
      <c r="T86" s="283"/>
      <c r="U86" s="382"/>
      <c r="V86" s="433"/>
      <c r="W86" s="376"/>
      <c r="X86" s="2">
        <v>28</v>
      </c>
    </row>
    <row r="87" spans="1:24" s="106" customFormat="1" ht="131.25" customHeight="1" x14ac:dyDescent="0.3">
      <c r="A87" s="385">
        <v>12</v>
      </c>
      <c r="B87" s="377" t="s">
        <v>56</v>
      </c>
      <c r="C87" s="377" t="s">
        <v>146</v>
      </c>
      <c r="D87" s="377" t="s">
        <v>147</v>
      </c>
      <c r="E87" s="377" t="s">
        <v>203</v>
      </c>
      <c r="F87" s="379">
        <v>45654</v>
      </c>
      <c r="G87" s="434" t="s">
        <v>173</v>
      </c>
      <c r="H87" s="381">
        <v>27331.200000000001</v>
      </c>
      <c r="I87" s="383">
        <f>IF(X87 = 29, H87 + SUM(S87:S92) - SUM(T87:T92) - SUM(P87:P92) - V87,0)</f>
        <v>13665.6</v>
      </c>
      <c r="J87" s="436">
        <v>2310163739</v>
      </c>
      <c r="K87" s="438" t="s">
        <v>174</v>
      </c>
      <c r="L87" s="377" t="s">
        <v>146</v>
      </c>
      <c r="M87" s="377"/>
      <c r="N87" s="286">
        <v>45688</v>
      </c>
      <c r="O87" s="379" t="s">
        <v>183</v>
      </c>
      <c r="P87" s="280">
        <v>2277.6</v>
      </c>
      <c r="Q87" s="281">
        <v>45716</v>
      </c>
      <c r="R87" s="282"/>
      <c r="S87" s="280"/>
      <c r="T87" s="280"/>
      <c r="U87" s="381"/>
      <c r="V87" s="432"/>
      <c r="W87" s="375"/>
      <c r="X87" s="106">
        <v>29</v>
      </c>
    </row>
    <row r="88" spans="1:24" s="2" customFormat="1" x14ac:dyDescent="0.3">
      <c r="A88" s="440"/>
      <c r="B88" s="443"/>
      <c r="C88" s="443"/>
      <c r="D88" s="443"/>
      <c r="E88" s="443"/>
      <c r="F88" s="441"/>
      <c r="G88" s="446"/>
      <c r="H88" s="442"/>
      <c r="I88" s="447"/>
      <c r="J88" s="448"/>
      <c r="K88" s="449"/>
      <c r="L88" s="443"/>
      <c r="M88" s="443"/>
      <c r="N88" s="290">
        <v>45716</v>
      </c>
      <c r="O88" s="441"/>
      <c r="P88" s="291">
        <v>2277.6</v>
      </c>
      <c r="Q88" s="292">
        <v>45716</v>
      </c>
      <c r="R88" s="293"/>
      <c r="S88" s="291"/>
      <c r="T88" s="291"/>
      <c r="U88" s="442"/>
      <c r="V88" s="444"/>
      <c r="W88" s="445"/>
      <c r="X88" s="2">
        <v>29</v>
      </c>
    </row>
    <row r="89" spans="1:24" s="2" customFormat="1" x14ac:dyDescent="0.3">
      <c r="A89" s="440"/>
      <c r="B89" s="443"/>
      <c r="C89" s="443"/>
      <c r="D89" s="443"/>
      <c r="E89" s="443"/>
      <c r="F89" s="441"/>
      <c r="G89" s="446"/>
      <c r="H89" s="442"/>
      <c r="I89" s="447"/>
      <c r="J89" s="448"/>
      <c r="K89" s="449"/>
      <c r="L89" s="443"/>
      <c r="M89" s="443"/>
      <c r="N89" s="290">
        <v>45747</v>
      </c>
      <c r="O89" s="441"/>
      <c r="P89" s="291">
        <v>2277.6</v>
      </c>
      <c r="Q89" s="292">
        <v>45748</v>
      </c>
      <c r="R89" s="293"/>
      <c r="S89" s="291"/>
      <c r="T89" s="291"/>
      <c r="U89" s="442"/>
      <c r="V89" s="444"/>
      <c r="W89" s="445"/>
      <c r="X89" s="2">
        <v>29</v>
      </c>
    </row>
    <row r="90" spans="1:24" s="2" customFormat="1" x14ac:dyDescent="0.3">
      <c r="A90" s="440"/>
      <c r="B90" s="443"/>
      <c r="C90" s="443"/>
      <c r="D90" s="443"/>
      <c r="E90" s="443"/>
      <c r="F90" s="441"/>
      <c r="G90" s="446"/>
      <c r="H90" s="442"/>
      <c r="I90" s="447"/>
      <c r="J90" s="448"/>
      <c r="K90" s="449"/>
      <c r="L90" s="443"/>
      <c r="M90" s="443"/>
      <c r="N90" s="290">
        <v>45777</v>
      </c>
      <c r="O90" s="441"/>
      <c r="P90" s="291">
        <v>2277.6</v>
      </c>
      <c r="Q90" s="292">
        <v>45777</v>
      </c>
      <c r="R90" s="293"/>
      <c r="S90" s="291"/>
      <c r="T90" s="291"/>
      <c r="U90" s="442"/>
      <c r="V90" s="444"/>
      <c r="W90" s="445"/>
      <c r="X90" s="2">
        <v>29</v>
      </c>
    </row>
    <row r="91" spans="1:24" s="2" customFormat="1" x14ac:dyDescent="0.3">
      <c r="A91" s="440"/>
      <c r="B91" s="443"/>
      <c r="C91" s="443"/>
      <c r="D91" s="443"/>
      <c r="E91" s="443"/>
      <c r="F91" s="441"/>
      <c r="G91" s="446"/>
      <c r="H91" s="442"/>
      <c r="I91" s="447"/>
      <c r="J91" s="448"/>
      <c r="K91" s="449"/>
      <c r="L91" s="443"/>
      <c r="M91" s="443"/>
      <c r="N91" s="290">
        <v>45808</v>
      </c>
      <c r="O91" s="441"/>
      <c r="P91" s="291">
        <v>2277.6</v>
      </c>
      <c r="Q91" s="292">
        <v>45818</v>
      </c>
      <c r="R91" s="293"/>
      <c r="S91" s="291"/>
      <c r="T91" s="291"/>
      <c r="U91" s="442"/>
      <c r="V91" s="444"/>
      <c r="W91" s="445"/>
      <c r="X91" s="2">
        <v>29</v>
      </c>
    </row>
    <row r="92" spans="1:24" s="2" customFormat="1" x14ac:dyDescent="0.3">
      <c r="A92" s="386"/>
      <c r="B92" s="378"/>
      <c r="C92" s="378"/>
      <c r="D92" s="378"/>
      <c r="E92" s="378"/>
      <c r="F92" s="380"/>
      <c r="G92" s="435"/>
      <c r="H92" s="382"/>
      <c r="I92" s="384"/>
      <c r="J92" s="437"/>
      <c r="K92" s="439"/>
      <c r="L92" s="378"/>
      <c r="M92" s="378"/>
      <c r="N92" s="287">
        <v>45838</v>
      </c>
      <c r="O92" s="380"/>
      <c r="P92" s="283">
        <v>2277.6</v>
      </c>
      <c r="Q92" s="284">
        <v>45838</v>
      </c>
      <c r="R92" s="285"/>
      <c r="S92" s="283"/>
      <c r="T92" s="283"/>
      <c r="U92" s="382"/>
      <c r="V92" s="433"/>
      <c r="W92" s="376"/>
      <c r="X92" s="2">
        <v>29</v>
      </c>
    </row>
    <row r="93" spans="1:24" s="106" customFormat="1" ht="90" customHeight="1" x14ac:dyDescent="0.3">
      <c r="A93" s="543">
        <v>13</v>
      </c>
      <c r="B93" s="571" t="s">
        <v>56</v>
      </c>
      <c r="C93" s="571" t="s">
        <v>146</v>
      </c>
      <c r="D93" s="571" t="s">
        <v>147</v>
      </c>
      <c r="E93" s="571" t="s">
        <v>113</v>
      </c>
      <c r="F93" s="486">
        <v>45677</v>
      </c>
      <c r="G93" s="580" t="s">
        <v>204</v>
      </c>
      <c r="H93" s="568">
        <v>18000</v>
      </c>
      <c r="I93" s="583">
        <f>IF(X93 = 30, H93 + SUM(S93:S97) - SUM(T93:T97) - SUM(P93:P97) - V93,0)</f>
        <v>10500</v>
      </c>
      <c r="J93" s="586">
        <v>231107998282</v>
      </c>
      <c r="K93" s="589" t="s">
        <v>187</v>
      </c>
      <c r="L93" s="571" t="s">
        <v>146</v>
      </c>
      <c r="M93" s="571"/>
      <c r="N93" s="277">
        <v>45688</v>
      </c>
      <c r="O93" s="486" t="s">
        <v>183</v>
      </c>
      <c r="P93" s="268">
        <v>1500</v>
      </c>
      <c r="Q93" s="269">
        <v>45693</v>
      </c>
      <c r="R93" s="270"/>
      <c r="S93" s="268"/>
      <c r="T93" s="268"/>
      <c r="U93" s="568"/>
      <c r="V93" s="574"/>
      <c r="W93" s="577"/>
      <c r="X93" s="106">
        <v>30</v>
      </c>
    </row>
    <row r="94" spans="1:24" s="2" customFormat="1" x14ac:dyDescent="0.3">
      <c r="A94" s="544"/>
      <c r="B94" s="572"/>
      <c r="C94" s="572"/>
      <c r="D94" s="572"/>
      <c r="E94" s="572"/>
      <c r="F94" s="487"/>
      <c r="G94" s="581"/>
      <c r="H94" s="569"/>
      <c r="I94" s="584"/>
      <c r="J94" s="587"/>
      <c r="K94" s="590"/>
      <c r="L94" s="572"/>
      <c r="M94" s="572"/>
      <c r="N94" s="278">
        <v>45716</v>
      </c>
      <c r="O94" s="487"/>
      <c r="P94" s="271">
        <v>1500</v>
      </c>
      <c r="Q94" s="272">
        <v>45716</v>
      </c>
      <c r="R94" s="273"/>
      <c r="S94" s="271"/>
      <c r="T94" s="271"/>
      <c r="U94" s="569"/>
      <c r="V94" s="575"/>
      <c r="W94" s="578"/>
      <c r="X94" s="2">
        <v>30</v>
      </c>
    </row>
    <row r="95" spans="1:24" s="2" customFormat="1" x14ac:dyDescent="0.3">
      <c r="A95" s="544"/>
      <c r="B95" s="572"/>
      <c r="C95" s="572"/>
      <c r="D95" s="572"/>
      <c r="E95" s="572"/>
      <c r="F95" s="487"/>
      <c r="G95" s="581"/>
      <c r="H95" s="569"/>
      <c r="I95" s="584"/>
      <c r="J95" s="587"/>
      <c r="K95" s="590"/>
      <c r="L95" s="572"/>
      <c r="M95" s="572"/>
      <c r="N95" s="278">
        <v>45747</v>
      </c>
      <c r="O95" s="487"/>
      <c r="P95" s="271">
        <v>1500</v>
      </c>
      <c r="Q95" s="272">
        <v>45748</v>
      </c>
      <c r="R95" s="273"/>
      <c r="S95" s="271"/>
      <c r="T95" s="271"/>
      <c r="U95" s="569"/>
      <c r="V95" s="575"/>
      <c r="W95" s="578"/>
      <c r="X95" s="2">
        <v>30</v>
      </c>
    </row>
    <row r="96" spans="1:24" s="2" customFormat="1" x14ac:dyDescent="0.3">
      <c r="A96" s="544"/>
      <c r="B96" s="572"/>
      <c r="C96" s="572"/>
      <c r="D96" s="572"/>
      <c r="E96" s="572"/>
      <c r="F96" s="487"/>
      <c r="G96" s="581"/>
      <c r="H96" s="569"/>
      <c r="I96" s="584"/>
      <c r="J96" s="587"/>
      <c r="K96" s="590"/>
      <c r="L96" s="572"/>
      <c r="M96" s="572"/>
      <c r="N96" s="278">
        <v>45777</v>
      </c>
      <c r="O96" s="487"/>
      <c r="P96" s="271">
        <v>1500</v>
      </c>
      <c r="Q96" s="272">
        <v>45777</v>
      </c>
      <c r="R96" s="273"/>
      <c r="S96" s="271"/>
      <c r="T96" s="271"/>
      <c r="U96" s="569"/>
      <c r="V96" s="575"/>
      <c r="W96" s="578"/>
      <c r="X96" s="2">
        <v>30</v>
      </c>
    </row>
    <row r="97" spans="1:24" s="2" customFormat="1" x14ac:dyDescent="0.3">
      <c r="A97" s="545"/>
      <c r="B97" s="573"/>
      <c r="C97" s="573"/>
      <c r="D97" s="573"/>
      <c r="E97" s="573"/>
      <c r="F97" s="488"/>
      <c r="G97" s="582"/>
      <c r="H97" s="570"/>
      <c r="I97" s="585"/>
      <c r="J97" s="588"/>
      <c r="K97" s="591"/>
      <c r="L97" s="573"/>
      <c r="M97" s="573"/>
      <c r="N97" s="279">
        <v>45808</v>
      </c>
      <c r="O97" s="488"/>
      <c r="P97" s="274">
        <v>1500</v>
      </c>
      <c r="Q97" s="275">
        <v>45812</v>
      </c>
      <c r="R97" s="276"/>
      <c r="S97" s="274"/>
      <c r="T97" s="274"/>
      <c r="U97" s="570"/>
      <c r="V97" s="576"/>
      <c r="W97" s="579"/>
      <c r="X97" s="2">
        <v>30</v>
      </c>
    </row>
    <row r="98" spans="1:24" s="106" customFormat="1" ht="90" customHeight="1" x14ac:dyDescent="0.3">
      <c r="A98" s="423">
        <v>14</v>
      </c>
      <c r="B98" s="415" t="s">
        <v>56</v>
      </c>
      <c r="C98" s="415" t="s">
        <v>146</v>
      </c>
      <c r="D98" s="415" t="s">
        <v>147</v>
      </c>
      <c r="E98" s="415" t="s">
        <v>115</v>
      </c>
      <c r="F98" s="417">
        <v>45677</v>
      </c>
      <c r="G98" s="460" t="s">
        <v>205</v>
      </c>
      <c r="H98" s="419">
        <v>95004</v>
      </c>
      <c r="I98" s="421">
        <f>IF(X98 = 31, H98 + SUM(S98:S100) - SUM(T98:T100) - SUM(P98:P100) - V98,0)</f>
        <v>66240</v>
      </c>
      <c r="J98" s="512">
        <v>2353020735</v>
      </c>
      <c r="K98" s="515" t="s">
        <v>156</v>
      </c>
      <c r="L98" s="415" t="s">
        <v>146</v>
      </c>
      <c r="M98" s="415"/>
      <c r="N98" s="218">
        <v>45677</v>
      </c>
      <c r="O98" s="417" t="s">
        <v>183</v>
      </c>
      <c r="P98" s="209">
        <v>9639</v>
      </c>
      <c r="Q98" s="210">
        <v>45706</v>
      </c>
      <c r="R98" s="211"/>
      <c r="S98" s="209"/>
      <c r="T98" s="209"/>
      <c r="U98" s="419"/>
      <c r="V98" s="479"/>
      <c r="W98" s="413"/>
      <c r="X98" s="106">
        <v>31</v>
      </c>
    </row>
    <row r="99" spans="1:24" s="2" customFormat="1" x14ac:dyDescent="0.3">
      <c r="A99" s="478"/>
      <c r="B99" s="476"/>
      <c r="C99" s="476"/>
      <c r="D99" s="476"/>
      <c r="E99" s="476"/>
      <c r="F99" s="477"/>
      <c r="G99" s="461"/>
      <c r="H99" s="475"/>
      <c r="I99" s="511"/>
      <c r="J99" s="513"/>
      <c r="K99" s="516"/>
      <c r="L99" s="476"/>
      <c r="M99" s="476"/>
      <c r="N99" s="219">
        <v>45716</v>
      </c>
      <c r="O99" s="477"/>
      <c r="P99" s="212">
        <v>9909</v>
      </c>
      <c r="Q99" s="213">
        <v>45730</v>
      </c>
      <c r="R99" s="214"/>
      <c r="S99" s="212"/>
      <c r="T99" s="212"/>
      <c r="U99" s="475"/>
      <c r="V99" s="480"/>
      <c r="W99" s="510"/>
      <c r="X99" s="2">
        <v>31</v>
      </c>
    </row>
    <row r="100" spans="1:24" s="2" customFormat="1" x14ac:dyDescent="0.3">
      <c r="A100" s="424"/>
      <c r="B100" s="416"/>
      <c r="C100" s="416"/>
      <c r="D100" s="416"/>
      <c r="E100" s="416"/>
      <c r="F100" s="418"/>
      <c r="G100" s="462"/>
      <c r="H100" s="420"/>
      <c r="I100" s="422"/>
      <c r="J100" s="514"/>
      <c r="K100" s="517"/>
      <c r="L100" s="416"/>
      <c r="M100" s="416"/>
      <c r="N100" s="220">
        <v>45747</v>
      </c>
      <c r="O100" s="418"/>
      <c r="P100" s="215">
        <v>9216</v>
      </c>
      <c r="Q100" s="216">
        <v>45761</v>
      </c>
      <c r="R100" s="217"/>
      <c r="S100" s="215"/>
      <c r="T100" s="215"/>
      <c r="U100" s="420"/>
      <c r="V100" s="481"/>
      <c r="W100" s="414"/>
      <c r="X100" s="2">
        <v>31</v>
      </c>
    </row>
    <row r="101" spans="1:24" s="106" customFormat="1" ht="90" customHeight="1" x14ac:dyDescent="0.3">
      <c r="A101" s="423">
        <v>15</v>
      </c>
      <c r="B101" s="415" t="s">
        <v>56</v>
      </c>
      <c r="C101" s="415" t="s">
        <v>146</v>
      </c>
      <c r="D101" s="415" t="s">
        <v>147</v>
      </c>
      <c r="E101" s="415" t="s">
        <v>116</v>
      </c>
      <c r="F101" s="417">
        <v>45677</v>
      </c>
      <c r="G101" s="460" t="s">
        <v>205</v>
      </c>
      <c r="H101" s="419">
        <v>48048</v>
      </c>
      <c r="I101" s="421">
        <f>IF(X101 = 32, H101 + SUM(S101:S106) - SUM(T101:T106) - SUM(P101:P106) - V101,0)</f>
        <v>9394</v>
      </c>
      <c r="J101" s="512">
        <v>2353020735</v>
      </c>
      <c r="K101" s="515" t="s">
        <v>156</v>
      </c>
      <c r="L101" s="415" t="s">
        <v>146</v>
      </c>
      <c r="M101" s="415"/>
      <c r="N101" s="218">
        <v>45688</v>
      </c>
      <c r="O101" s="417" t="s">
        <v>183</v>
      </c>
      <c r="P101" s="209">
        <v>9240</v>
      </c>
      <c r="Q101" s="210">
        <v>45706</v>
      </c>
      <c r="R101" s="211"/>
      <c r="S101" s="209"/>
      <c r="T101" s="209"/>
      <c r="U101" s="419"/>
      <c r="V101" s="479"/>
      <c r="W101" s="413"/>
      <c r="X101" s="106">
        <v>32</v>
      </c>
    </row>
    <row r="102" spans="1:24" s="2" customFormat="1" x14ac:dyDescent="0.3">
      <c r="A102" s="478"/>
      <c r="B102" s="476"/>
      <c r="C102" s="476"/>
      <c r="D102" s="476"/>
      <c r="E102" s="476"/>
      <c r="F102" s="477"/>
      <c r="G102" s="461"/>
      <c r="H102" s="475"/>
      <c r="I102" s="511"/>
      <c r="J102" s="513"/>
      <c r="K102" s="516"/>
      <c r="L102" s="476"/>
      <c r="M102" s="476"/>
      <c r="N102" s="219">
        <v>45688</v>
      </c>
      <c r="O102" s="477"/>
      <c r="P102" s="212">
        <v>2310</v>
      </c>
      <c r="Q102" s="213">
        <v>45706</v>
      </c>
      <c r="R102" s="214"/>
      <c r="S102" s="212"/>
      <c r="T102" s="212"/>
      <c r="U102" s="475"/>
      <c r="V102" s="480"/>
      <c r="W102" s="510"/>
      <c r="X102" s="2">
        <v>32</v>
      </c>
    </row>
    <row r="103" spans="1:24" s="2" customFormat="1" x14ac:dyDescent="0.3">
      <c r="A103" s="478"/>
      <c r="B103" s="476"/>
      <c r="C103" s="476"/>
      <c r="D103" s="476"/>
      <c r="E103" s="476"/>
      <c r="F103" s="477"/>
      <c r="G103" s="461"/>
      <c r="H103" s="475"/>
      <c r="I103" s="511"/>
      <c r="J103" s="513"/>
      <c r="K103" s="516"/>
      <c r="L103" s="476"/>
      <c r="M103" s="476"/>
      <c r="N103" s="219">
        <v>45716</v>
      </c>
      <c r="O103" s="477"/>
      <c r="P103" s="212">
        <v>9979.2000000000007</v>
      </c>
      <c r="Q103" s="213">
        <v>45730</v>
      </c>
      <c r="R103" s="214"/>
      <c r="S103" s="212"/>
      <c r="T103" s="212"/>
      <c r="U103" s="475"/>
      <c r="V103" s="480"/>
      <c r="W103" s="510"/>
      <c r="X103" s="2">
        <v>32</v>
      </c>
    </row>
    <row r="104" spans="1:24" s="2" customFormat="1" x14ac:dyDescent="0.3">
      <c r="A104" s="478"/>
      <c r="B104" s="476"/>
      <c r="C104" s="476"/>
      <c r="D104" s="476"/>
      <c r="E104" s="476"/>
      <c r="F104" s="477"/>
      <c r="G104" s="461"/>
      <c r="H104" s="475"/>
      <c r="I104" s="511"/>
      <c r="J104" s="513"/>
      <c r="K104" s="516"/>
      <c r="L104" s="476"/>
      <c r="M104" s="476"/>
      <c r="N104" s="219">
        <v>45716</v>
      </c>
      <c r="O104" s="477"/>
      <c r="P104" s="212">
        <v>2494.8000000000002</v>
      </c>
      <c r="Q104" s="213">
        <v>45730</v>
      </c>
      <c r="R104" s="214"/>
      <c r="S104" s="212"/>
      <c r="T104" s="212"/>
      <c r="U104" s="475"/>
      <c r="V104" s="480"/>
      <c r="W104" s="510"/>
      <c r="X104" s="2">
        <v>32</v>
      </c>
    </row>
    <row r="105" spans="1:24" s="2" customFormat="1" x14ac:dyDescent="0.3">
      <c r="A105" s="478"/>
      <c r="B105" s="476"/>
      <c r="C105" s="476"/>
      <c r="D105" s="476"/>
      <c r="E105" s="476"/>
      <c r="F105" s="477"/>
      <c r="G105" s="461"/>
      <c r="H105" s="475"/>
      <c r="I105" s="511"/>
      <c r="J105" s="513"/>
      <c r="K105" s="516"/>
      <c r="L105" s="476"/>
      <c r="M105" s="476"/>
      <c r="N105" s="219">
        <v>45747</v>
      </c>
      <c r="O105" s="477"/>
      <c r="P105" s="212">
        <v>11704</v>
      </c>
      <c r="Q105" s="213">
        <v>45761</v>
      </c>
      <c r="R105" s="214"/>
      <c r="S105" s="212"/>
      <c r="T105" s="212"/>
      <c r="U105" s="475"/>
      <c r="V105" s="480"/>
      <c r="W105" s="510"/>
      <c r="X105" s="2">
        <v>32</v>
      </c>
    </row>
    <row r="106" spans="1:24" s="2" customFormat="1" x14ac:dyDescent="0.3">
      <c r="A106" s="424"/>
      <c r="B106" s="416"/>
      <c r="C106" s="416"/>
      <c r="D106" s="416"/>
      <c r="E106" s="416"/>
      <c r="F106" s="418"/>
      <c r="G106" s="462"/>
      <c r="H106" s="420"/>
      <c r="I106" s="422"/>
      <c r="J106" s="514"/>
      <c r="K106" s="517"/>
      <c r="L106" s="416"/>
      <c r="M106" s="416"/>
      <c r="N106" s="220">
        <v>45747</v>
      </c>
      <c r="O106" s="418"/>
      <c r="P106" s="215">
        <v>2926</v>
      </c>
      <c r="Q106" s="216">
        <v>45761</v>
      </c>
      <c r="R106" s="217"/>
      <c r="S106" s="215"/>
      <c r="T106" s="215"/>
      <c r="U106" s="420"/>
      <c r="V106" s="481"/>
      <c r="W106" s="414"/>
      <c r="X106" s="2">
        <v>32</v>
      </c>
    </row>
    <row r="107" spans="1:24" s="106" customFormat="1" ht="144" customHeight="1" x14ac:dyDescent="0.3">
      <c r="A107" s="522">
        <v>16</v>
      </c>
      <c r="B107" s="528" t="s">
        <v>56</v>
      </c>
      <c r="C107" s="528" t="s">
        <v>146</v>
      </c>
      <c r="D107" s="528" t="s">
        <v>147</v>
      </c>
      <c r="E107" s="528" t="s">
        <v>206</v>
      </c>
      <c r="F107" s="524">
        <v>45686</v>
      </c>
      <c r="G107" s="534" t="s">
        <v>207</v>
      </c>
      <c r="H107" s="526">
        <v>5640</v>
      </c>
      <c r="I107" s="536">
        <f>IF(X107 = 33, H107 + SUM(S107:S108) - SUM(T107:T108) - SUM(P107:P108) - V107,0)</f>
        <v>0</v>
      </c>
      <c r="J107" s="538">
        <v>6663003127</v>
      </c>
      <c r="K107" s="540" t="s">
        <v>208</v>
      </c>
      <c r="L107" s="528" t="s">
        <v>146</v>
      </c>
      <c r="M107" s="528"/>
      <c r="N107" s="166"/>
      <c r="O107" s="524" t="s">
        <v>209</v>
      </c>
      <c r="P107" s="160">
        <v>1692</v>
      </c>
      <c r="Q107" s="161">
        <v>45693</v>
      </c>
      <c r="R107" s="162"/>
      <c r="S107" s="160"/>
      <c r="T107" s="160"/>
      <c r="U107" s="526"/>
      <c r="V107" s="530"/>
      <c r="W107" s="532"/>
      <c r="X107" s="106">
        <v>33</v>
      </c>
    </row>
    <row r="108" spans="1:24" s="2" customFormat="1" x14ac:dyDescent="0.3">
      <c r="A108" s="523"/>
      <c r="B108" s="529"/>
      <c r="C108" s="529"/>
      <c r="D108" s="529"/>
      <c r="E108" s="529"/>
      <c r="F108" s="525"/>
      <c r="G108" s="535"/>
      <c r="H108" s="527"/>
      <c r="I108" s="537"/>
      <c r="J108" s="539"/>
      <c r="K108" s="541"/>
      <c r="L108" s="529"/>
      <c r="M108" s="529"/>
      <c r="N108" s="167">
        <v>45686</v>
      </c>
      <c r="O108" s="525"/>
      <c r="P108" s="163">
        <v>3948</v>
      </c>
      <c r="Q108" s="164">
        <v>45699</v>
      </c>
      <c r="R108" s="165"/>
      <c r="S108" s="163"/>
      <c r="T108" s="163"/>
      <c r="U108" s="527"/>
      <c r="V108" s="531"/>
      <c r="W108" s="533"/>
      <c r="X108" s="2">
        <v>33</v>
      </c>
    </row>
    <row r="109" spans="1:24" s="106" customFormat="1" ht="108" x14ac:dyDescent="0.3">
      <c r="A109" s="130">
        <v>17</v>
      </c>
      <c r="B109" s="131" t="s">
        <v>56</v>
      </c>
      <c r="C109" s="131" t="s">
        <v>146</v>
      </c>
      <c r="D109" s="131" t="s">
        <v>147</v>
      </c>
      <c r="E109" s="131" t="s">
        <v>130</v>
      </c>
      <c r="F109" s="141">
        <v>45686</v>
      </c>
      <c r="G109" s="134" t="s">
        <v>191</v>
      </c>
      <c r="H109" s="132">
        <v>30850</v>
      </c>
      <c r="I109" s="133">
        <f>IF(X109 = 34, H109 + SUM(S109:S109) - SUM(T109:T109) - SUM(P109:P109) - V109,0)</f>
        <v>0</v>
      </c>
      <c r="J109" s="138">
        <v>235303483777</v>
      </c>
      <c r="K109" s="139" t="s">
        <v>210</v>
      </c>
      <c r="L109" s="131" t="s">
        <v>146</v>
      </c>
      <c r="M109" s="131"/>
      <c r="N109" s="141">
        <v>45688</v>
      </c>
      <c r="O109" s="141" t="s">
        <v>183</v>
      </c>
      <c r="P109" s="132">
        <v>30850</v>
      </c>
      <c r="Q109" s="134">
        <v>45694</v>
      </c>
      <c r="R109" s="131"/>
      <c r="S109" s="132"/>
      <c r="T109" s="132"/>
      <c r="U109" s="132"/>
      <c r="V109" s="140"/>
      <c r="W109" s="137"/>
      <c r="X109" s="106">
        <v>34</v>
      </c>
    </row>
    <row r="110" spans="1:24" s="106" customFormat="1" ht="108" x14ac:dyDescent="0.3">
      <c r="A110" s="130">
        <v>18</v>
      </c>
      <c r="B110" s="131" t="s">
        <v>56</v>
      </c>
      <c r="C110" s="131" t="s">
        <v>146</v>
      </c>
      <c r="D110" s="131" t="s">
        <v>147</v>
      </c>
      <c r="E110" s="131" t="s">
        <v>219</v>
      </c>
      <c r="F110" s="152">
        <v>45708</v>
      </c>
      <c r="G110" s="134" t="s">
        <v>220</v>
      </c>
      <c r="H110" s="132">
        <v>88051.81</v>
      </c>
      <c r="I110" s="133">
        <f>IF(X110 = 35, H110 + SUM(S110:S110) - SUM(T110:T110) - SUM(P110:P110) - V110,0)</f>
        <v>0</v>
      </c>
      <c r="J110" s="138">
        <v>7715995942</v>
      </c>
      <c r="K110" s="139" t="s">
        <v>221</v>
      </c>
      <c r="L110" s="131" t="s">
        <v>146</v>
      </c>
      <c r="M110" s="131"/>
      <c r="N110" s="152">
        <v>45781</v>
      </c>
      <c r="O110" s="152" t="s">
        <v>183</v>
      </c>
      <c r="P110" s="132">
        <v>88051.81</v>
      </c>
      <c r="Q110" s="134">
        <v>45806</v>
      </c>
      <c r="R110" s="131"/>
      <c r="S110" s="132"/>
      <c r="T110" s="132"/>
      <c r="U110" s="132"/>
      <c r="V110" s="140"/>
      <c r="W110" s="150"/>
      <c r="X110" s="106">
        <v>35</v>
      </c>
    </row>
    <row r="111" spans="1:24" s="106" customFormat="1" ht="90" customHeight="1" x14ac:dyDescent="0.3">
      <c r="A111" s="548">
        <v>19</v>
      </c>
      <c r="B111" s="554" t="s">
        <v>56</v>
      </c>
      <c r="C111" s="554" t="s">
        <v>146</v>
      </c>
      <c r="D111" s="554" t="s">
        <v>147</v>
      </c>
      <c r="E111" s="554" t="s">
        <v>229</v>
      </c>
      <c r="F111" s="550">
        <v>45677</v>
      </c>
      <c r="G111" s="560" t="s">
        <v>230</v>
      </c>
      <c r="H111" s="552">
        <v>29510.04</v>
      </c>
      <c r="I111" s="562">
        <f>IF(X111 = 37, H111 + SUM(S111:S112) - SUM(T111:T112) - SUM(P111:P112) - V111,0)</f>
        <v>14755.02</v>
      </c>
      <c r="J111" s="564">
        <v>2353018870</v>
      </c>
      <c r="K111" s="566" t="s">
        <v>231</v>
      </c>
      <c r="L111" s="554" t="s">
        <v>146</v>
      </c>
      <c r="M111" s="554"/>
      <c r="N111" s="181">
        <v>45743</v>
      </c>
      <c r="O111" s="550" t="s">
        <v>183</v>
      </c>
      <c r="P111" s="182">
        <v>7377.51</v>
      </c>
      <c r="Q111" s="183">
        <v>45749</v>
      </c>
      <c r="R111" s="184"/>
      <c r="S111" s="182"/>
      <c r="T111" s="182"/>
      <c r="U111" s="552"/>
      <c r="V111" s="556"/>
      <c r="W111" s="558"/>
      <c r="X111" s="106">
        <v>37</v>
      </c>
    </row>
    <row r="112" spans="1:24" s="2" customFormat="1" x14ac:dyDescent="0.3">
      <c r="A112" s="549"/>
      <c r="B112" s="555"/>
      <c r="C112" s="555"/>
      <c r="D112" s="555"/>
      <c r="E112" s="555"/>
      <c r="F112" s="551"/>
      <c r="G112" s="561"/>
      <c r="H112" s="553"/>
      <c r="I112" s="563"/>
      <c r="J112" s="565"/>
      <c r="K112" s="567"/>
      <c r="L112" s="555"/>
      <c r="M112" s="555"/>
      <c r="N112" s="185">
        <v>45835</v>
      </c>
      <c r="O112" s="551"/>
      <c r="P112" s="186">
        <v>7377.51</v>
      </c>
      <c r="Q112" s="187">
        <v>45835</v>
      </c>
      <c r="R112" s="188"/>
      <c r="S112" s="186"/>
      <c r="T112" s="186"/>
      <c r="U112" s="553"/>
      <c r="V112" s="557"/>
      <c r="W112" s="559"/>
      <c r="X112" s="2">
        <v>37</v>
      </c>
    </row>
    <row r="113" spans="1:24" s="106" customFormat="1" ht="108" x14ac:dyDescent="0.3">
      <c r="A113" s="170">
        <v>20</v>
      </c>
      <c r="B113" s="171" t="s">
        <v>56</v>
      </c>
      <c r="C113" s="171" t="s">
        <v>146</v>
      </c>
      <c r="D113" s="171" t="s">
        <v>147</v>
      </c>
      <c r="E113" s="171" t="s">
        <v>234</v>
      </c>
      <c r="F113" s="179">
        <v>45714</v>
      </c>
      <c r="G113" s="173" t="s">
        <v>236</v>
      </c>
      <c r="H113" s="174">
        <v>2625</v>
      </c>
      <c r="I113" s="175">
        <f>IF(X113 = 38, H113 + SUM(S113:S113) - SUM(T113:T113) - SUM(P113:P113) - V113,0)</f>
        <v>0</v>
      </c>
      <c r="J113" s="176">
        <v>7728499444</v>
      </c>
      <c r="K113" s="177" t="s">
        <v>235</v>
      </c>
      <c r="L113" s="171" t="s">
        <v>146</v>
      </c>
      <c r="M113" s="171"/>
      <c r="N113" s="179">
        <v>45714</v>
      </c>
      <c r="O113" s="179" t="s">
        <v>183</v>
      </c>
      <c r="P113" s="174">
        <v>2625</v>
      </c>
      <c r="Q113" s="173">
        <v>45736</v>
      </c>
      <c r="R113" s="171"/>
      <c r="S113" s="174"/>
      <c r="T113" s="174"/>
      <c r="U113" s="174"/>
      <c r="V113" s="178"/>
      <c r="W113" s="168"/>
      <c r="X113" s="106">
        <v>38</v>
      </c>
    </row>
    <row r="114" spans="1:24" s="106" customFormat="1" ht="108" x14ac:dyDescent="0.3">
      <c r="A114" s="170">
        <v>21</v>
      </c>
      <c r="B114" s="171" t="s">
        <v>56</v>
      </c>
      <c r="C114" s="171" t="s">
        <v>146</v>
      </c>
      <c r="D114" s="171" t="s">
        <v>147</v>
      </c>
      <c r="E114" s="171" t="s">
        <v>121</v>
      </c>
      <c r="F114" s="179">
        <v>45726</v>
      </c>
      <c r="G114" s="173" t="s">
        <v>237</v>
      </c>
      <c r="H114" s="174">
        <v>66800</v>
      </c>
      <c r="I114" s="175">
        <f>IF(X114 = 39, H114 + SUM(S114:S114) - SUM(T114:T114) - SUM(P114:P114) - V114,0)</f>
        <v>0</v>
      </c>
      <c r="J114" s="176">
        <v>235000239811</v>
      </c>
      <c r="K114" s="177" t="s">
        <v>238</v>
      </c>
      <c r="L114" s="171" t="s">
        <v>146</v>
      </c>
      <c r="M114" s="171"/>
      <c r="N114" s="179">
        <v>45726</v>
      </c>
      <c r="O114" s="179" t="s">
        <v>183</v>
      </c>
      <c r="P114" s="174">
        <v>66800</v>
      </c>
      <c r="Q114" s="173">
        <v>45727</v>
      </c>
      <c r="R114" s="171"/>
      <c r="S114" s="174"/>
      <c r="T114" s="174"/>
      <c r="U114" s="174"/>
      <c r="V114" s="178"/>
      <c r="W114" s="168"/>
      <c r="X114" s="106">
        <v>39</v>
      </c>
    </row>
    <row r="115" spans="1:24" s="106" customFormat="1" ht="108" x14ac:dyDescent="0.3">
      <c r="A115" s="170">
        <v>22</v>
      </c>
      <c r="B115" s="171" t="s">
        <v>56</v>
      </c>
      <c r="C115" s="171" t="s">
        <v>146</v>
      </c>
      <c r="D115" s="171" t="s">
        <v>147</v>
      </c>
      <c r="E115" s="171" t="s">
        <v>128</v>
      </c>
      <c r="F115" s="179">
        <v>45740</v>
      </c>
      <c r="G115" s="173" t="s">
        <v>245</v>
      </c>
      <c r="H115" s="174">
        <v>31370</v>
      </c>
      <c r="I115" s="175">
        <f>IF(X115 = 40, H115 + SUM(S115:S115) - SUM(T115:T115) - SUM(P115:P115) - V115,0)</f>
        <v>0</v>
      </c>
      <c r="J115" s="176">
        <v>231500102141</v>
      </c>
      <c r="K115" s="177" t="s">
        <v>246</v>
      </c>
      <c r="L115" s="171" t="s">
        <v>146</v>
      </c>
      <c r="M115" s="171"/>
      <c r="N115" s="179">
        <v>45740</v>
      </c>
      <c r="O115" s="179" t="s">
        <v>183</v>
      </c>
      <c r="P115" s="174">
        <v>31370</v>
      </c>
      <c r="Q115" s="173">
        <v>45741</v>
      </c>
      <c r="R115" s="171"/>
      <c r="S115" s="174"/>
      <c r="T115" s="174"/>
      <c r="U115" s="174"/>
      <c r="V115" s="178"/>
      <c r="W115" s="168"/>
      <c r="X115" s="106">
        <v>40</v>
      </c>
    </row>
    <row r="116" spans="1:24" s="106" customFormat="1" ht="108" x14ac:dyDescent="0.3">
      <c r="A116" s="170">
        <v>23</v>
      </c>
      <c r="B116" s="171" t="s">
        <v>56</v>
      </c>
      <c r="C116" s="171" t="s">
        <v>146</v>
      </c>
      <c r="D116" s="171" t="s">
        <v>147</v>
      </c>
      <c r="E116" s="171" t="s">
        <v>130</v>
      </c>
      <c r="F116" s="179">
        <v>45741</v>
      </c>
      <c r="G116" s="173" t="s">
        <v>191</v>
      </c>
      <c r="H116" s="174">
        <v>24340</v>
      </c>
      <c r="I116" s="175">
        <f>IF(X116 = 41, H116 + SUM(S116:S116) - SUM(T116:T116) - SUM(P116:P116) - V116,0)</f>
        <v>0</v>
      </c>
      <c r="J116" s="176">
        <v>235303483777</v>
      </c>
      <c r="K116" s="177" t="s">
        <v>210</v>
      </c>
      <c r="L116" s="171" t="s">
        <v>146</v>
      </c>
      <c r="M116" s="171"/>
      <c r="N116" s="179">
        <v>45743</v>
      </c>
      <c r="O116" s="179" t="s">
        <v>183</v>
      </c>
      <c r="P116" s="174">
        <v>24340</v>
      </c>
      <c r="Q116" s="173">
        <v>45748</v>
      </c>
      <c r="R116" s="171"/>
      <c r="S116" s="174"/>
      <c r="T116" s="174"/>
      <c r="U116" s="174"/>
      <c r="V116" s="178"/>
      <c r="W116" s="168"/>
      <c r="X116" s="106">
        <v>41</v>
      </c>
    </row>
    <row r="117" spans="1:24" s="106" customFormat="1" ht="108" x14ac:dyDescent="0.3">
      <c r="A117" s="193">
        <v>24</v>
      </c>
      <c r="B117" s="192" t="s">
        <v>56</v>
      </c>
      <c r="C117" s="192" t="s">
        <v>146</v>
      </c>
      <c r="D117" s="192" t="s">
        <v>147</v>
      </c>
      <c r="E117" s="192" t="s">
        <v>247</v>
      </c>
      <c r="F117" s="200">
        <v>45740</v>
      </c>
      <c r="G117" s="194" t="s">
        <v>248</v>
      </c>
      <c r="H117" s="195">
        <v>37440</v>
      </c>
      <c r="I117" s="196">
        <f>IF(X117 = 42, H117 + SUM(S117:S117) - SUM(T117:T117) - SUM(P117:P117) - V117,0)</f>
        <v>37440</v>
      </c>
      <c r="J117" s="197">
        <v>2353006498</v>
      </c>
      <c r="K117" s="198" t="s">
        <v>249</v>
      </c>
      <c r="L117" s="192" t="s">
        <v>146</v>
      </c>
      <c r="M117" s="192"/>
      <c r="N117" s="200"/>
      <c r="O117" s="200" t="s">
        <v>183</v>
      </c>
      <c r="P117" s="195"/>
      <c r="Q117" s="194"/>
      <c r="R117" s="192"/>
      <c r="S117" s="195"/>
      <c r="T117" s="195"/>
      <c r="U117" s="195"/>
      <c r="V117" s="199"/>
      <c r="W117" s="191"/>
      <c r="X117" s="106">
        <v>42</v>
      </c>
    </row>
    <row r="118" spans="1:24" s="106" customFormat="1" ht="90" customHeight="1" x14ac:dyDescent="0.3">
      <c r="A118" s="385">
        <v>25</v>
      </c>
      <c r="B118" s="377" t="s">
        <v>56</v>
      </c>
      <c r="C118" s="377" t="s">
        <v>162</v>
      </c>
      <c r="D118" s="377" t="s">
        <v>147</v>
      </c>
      <c r="E118" s="377" t="s">
        <v>250</v>
      </c>
      <c r="F118" s="379">
        <v>45743</v>
      </c>
      <c r="G118" s="434" t="s">
        <v>163</v>
      </c>
      <c r="H118" s="381">
        <v>498100</v>
      </c>
      <c r="I118" s="383">
        <f>IF(X118 = 43, H118 + SUM(S118:S120) - SUM(T118:T120) - SUM(P118:P120) - V118,0)</f>
        <v>339472.31</v>
      </c>
      <c r="J118" s="436">
        <v>2310195709</v>
      </c>
      <c r="K118" s="438" t="s">
        <v>200</v>
      </c>
      <c r="L118" s="377" t="s">
        <v>146</v>
      </c>
      <c r="M118" s="377"/>
      <c r="N118" s="286">
        <v>45777</v>
      </c>
      <c r="O118" s="379" t="s">
        <v>183</v>
      </c>
      <c r="P118" s="280">
        <v>70682.5</v>
      </c>
      <c r="Q118" s="281">
        <v>45789</v>
      </c>
      <c r="R118" s="282"/>
      <c r="S118" s="280"/>
      <c r="T118" s="280"/>
      <c r="U118" s="381"/>
      <c r="V118" s="432"/>
      <c r="W118" s="375"/>
      <c r="X118" s="106">
        <v>43</v>
      </c>
    </row>
    <row r="119" spans="1:24" s="2" customFormat="1" x14ac:dyDescent="0.3">
      <c r="A119" s="440"/>
      <c r="B119" s="443"/>
      <c r="C119" s="443"/>
      <c r="D119" s="443"/>
      <c r="E119" s="443"/>
      <c r="F119" s="441"/>
      <c r="G119" s="446"/>
      <c r="H119" s="442"/>
      <c r="I119" s="447"/>
      <c r="J119" s="448"/>
      <c r="K119" s="449"/>
      <c r="L119" s="443"/>
      <c r="M119" s="443"/>
      <c r="N119" s="290">
        <v>45808</v>
      </c>
      <c r="O119" s="441"/>
      <c r="P119" s="291">
        <v>87945.19</v>
      </c>
      <c r="Q119" s="292">
        <v>45818</v>
      </c>
      <c r="R119" s="293"/>
      <c r="S119" s="291"/>
      <c r="T119" s="291"/>
      <c r="U119" s="442"/>
      <c r="V119" s="444"/>
      <c r="W119" s="445"/>
      <c r="X119" s="2">
        <v>43</v>
      </c>
    </row>
    <row r="120" spans="1:24" s="2" customFormat="1" x14ac:dyDescent="0.3">
      <c r="A120" s="386"/>
      <c r="B120" s="378"/>
      <c r="C120" s="378"/>
      <c r="D120" s="378"/>
      <c r="E120" s="378"/>
      <c r="F120" s="380"/>
      <c r="G120" s="435"/>
      <c r="H120" s="382"/>
      <c r="I120" s="384"/>
      <c r="J120" s="437"/>
      <c r="K120" s="439"/>
      <c r="L120" s="378"/>
      <c r="M120" s="378"/>
      <c r="N120" s="287"/>
      <c r="O120" s="380"/>
      <c r="P120" s="283"/>
      <c r="Q120" s="284"/>
      <c r="R120" s="285"/>
      <c r="S120" s="283"/>
      <c r="T120" s="283"/>
      <c r="U120" s="382"/>
      <c r="V120" s="433"/>
      <c r="W120" s="376"/>
      <c r="X120" s="2">
        <v>43</v>
      </c>
    </row>
    <row r="121" spans="1:24" s="106" customFormat="1" ht="108" x14ac:dyDescent="0.3">
      <c r="A121" s="193">
        <v>26</v>
      </c>
      <c r="B121" s="201" t="s">
        <v>56</v>
      </c>
      <c r="C121" s="201" t="s">
        <v>146</v>
      </c>
      <c r="D121" s="201" t="s">
        <v>147</v>
      </c>
      <c r="E121" s="201" t="s">
        <v>258</v>
      </c>
      <c r="F121" s="206">
        <v>45754</v>
      </c>
      <c r="G121" s="194" t="s">
        <v>259</v>
      </c>
      <c r="H121" s="195">
        <v>1297</v>
      </c>
      <c r="I121" s="196">
        <f>IF(X121 = 44, H121 + SUM(S121:S121) - SUM(T121:T121) - SUM(P121:P121) - V121,0)</f>
        <v>0</v>
      </c>
      <c r="J121" s="197">
        <v>2310132554</v>
      </c>
      <c r="K121" s="198" t="s">
        <v>260</v>
      </c>
      <c r="L121" s="201" t="s">
        <v>146</v>
      </c>
      <c r="M121" s="201"/>
      <c r="N121" s="206">
        <v>45770</v>
      </c>
      <c r="O121" s="206" t="s">
        <v>183</v>
      </c>
      <c r="P121" s="195">
        <v>1297</v>
      </c>
      <c r="Q121" s="194">
        <v>45777</v>
      </c>
      <c r="R121" s="201"/>
      <c r="S121" s="195"/>
      <c r="T121" s="195"/>
      <c r="U121" s="195"/>
      <c r="V121" s="199"/>
      <c r="W121" s="202"/>
      <c r="X121" s="106">
        <v>44</v>
      </c>
    </row>
    <row r="122" spans="1:24" s="106" customFormat="1" ht="90" customHeight="1" x14ac:dyDescent="0.3">
      <c r="A122" s="385">
        <v>27</v>
      </c>
      <c r="B122" s="377" t="s">
        <v>56</v>
      </c>
      <c r="C122" s="377" t="s">
        <v>146</v>
      </c>
      <c r="D122" s="377" t="s">
        <v>147</v>
      </c>
      <c r="E122" s="377" t="s">
        <v>132</v>
      </c>
      <c r="F122" s="379">
        <v>45748</v>
      </c>
      <c r="G122" s="434" t="s">
        <v>276</v>
      </c>
      <c r="H122" s="381">
        <v>101920</v>
      </c>
      <c r="I122" s="383">
        <f>IF(X122 = 45, H122 + SUM(S122:S123) - SUM(T122:T123) - SUM(P122:P123) - V122,0)</f>
        <v>72702</v>
      </c>
      <c r="J122" s="436">
        <v>2353020735</v>
      </c>
      <c r="K122" s="438" t="s">
        <v>156</v>
      </c>
      <c r="L122" s="377" t="s">
        <v>146</v>
      </c>
      <c r="M122" s="377"/>
      <c r="N122" s="286">
        <v>45800</v>
      </c>
      <c r="O122" s="379" t="s">
        <v>183</v>
      </c>
      <c r="P122" s="280">
        <v>11228</v>
      </c>
      <c r="Q122" s="281">
        <v>45813</v>
      </c>
      <c r="R122" s="282"/>
      <c r="S122" s="280"/>
      <c r="T122" s="280"/>
      <c r="U122" s="381"/>
      <c r="V122" s="432"/>
      <c r="W122" s="375"/>
      <c r="X122" s="106">
        <v>45</v>
      </c>
    </row>
    <row r="123" spans="1:24" s="2" customFormat="1" x14ac:dyDescent="0.3">
      <c r="A123" s="386"/>
      <c r="B123" s="378"/>
      <c r="C123" s="378"/>
      <c r="D123" s="378"/>
      <c r="E123" s="378"/>
      <c r="F123" s="380"/>
      <c r="G123" s="435"/>
      <c r="H123" s="382"/>
      <c r="I123" s="384"/>
      <c r="J123" s="437"/>
      <c r="K123" s="439"/>
      <c r="L123" s="378"/>
      <c r="M123" s="378"/>
      <c r="N123" s="287">
        <v>45777</v>
      </c>
      <c r="O123" s="380"/>
      <c r="P123" s="283">
        <v>17990</v>
      </c>
      <c r="Q123" s="284">
        <v>45798</v>
      </c>
      <c r="R123" s="285"/>
      <c r="S123" s="283"/>
      <c r="T123" s="283"/>
      <c r="U123" s="382"/>
      <c r="V123" s="433"/>
      <c r="W123" s="376"/>
      <c r="X123" s="2">
        <v>45</v>
      </c>
    </row>
    <row r="124" spans="1:24" s="106" customFormat="1" ht="90" customHeight="1" x14ac:dyDescent="0.3">
      <c r="A124" s="385">
        <v>28</v>
      </c>
      <c r="B124" s="377" t="s">
        <v>56</v>
      </c>
      <c r="C124" s="377" t="s">
        <v>146</v>
      </c>
      <c r="D124" s="377" t="s">
        <v>147</v>
      </c>
      <c r="E124" s="377" t="s">
        <v>133</v>
      </c>
      <c r="F124" s="379">
        <v>45748</v>
      </c>
      <c r="G124" s="434" t="s">
        <v>276</v>
      </c>
      <c r="H124" s="381">
        <v>334180</v>
      </c>
      <c r="I124" s="383">
        <f>IF(X124 = 46, H124 + SUM(S124:S125) - SUM(T124:T125) - SUM(P124:P125) - V124,0)</f>
        <v>75460</v>
      </c>
      <c r="J124" s="436">
        <v>2353020735</v>
      </c>
      <c r="K124" s="438" t="s">
        <v>156</v>
      </c>
      <c r="L124" s="377" t="s">
        <v>146</v>
      </c>
      <c r="M124" s="377"/>
      <c r="N124" s="286">
        <v>45800</v>
      </c>
      <c r="O124" s="379" t="s">
        <v>183</v>
      </c>
      <c r="P124" s="280">
        <v>103180</v>
      </c>
      <c r="Q124" s="281">
        <v>45812</v>
      </c>
      <c r="R124" s="282"/>
      <c r="S124" s="280"/>
      <c r="T124" s="280"/>
      <c r="U124" s="381"/>
      <c r="V124" s="432"/>
      <c r="W124" s="375"/>
      <c r="X124" s="106">
        <v>46</v>
      </c>
    </row>
    <row r="125" spans="1:24" s="2" customFormat="1" x14ac:dyDescent="0.3">
      <c r="A125" s="386"/>
      <c r="B125" s="378"/>
      <c r="C125" s="378"/>
      <c r="D125" s="378"/>
      <c r="E125" s="378"/>
      <c r="F125" s="380"/>
      <c r="G125" s="435"/>
      <c r="H125" s="382"/>
      <c r="I125" s="384"/>
      <c r="J125" s="437"/>
      <c r="K125" s="439"/>
      <c r="L125" s="378"/>
      <c r="M125" s="378"/>
      <c r="N125" s="287">
        <v>45777</v>
      </c>
      <c r="O125" s="380"/>
      <c r="P125" s="283">
        <v>155540</v>
      </c>
      <c r="Q125" s="284">
        <v>45798</v>
      </c>
      <c r="R125" s="285"/>
      <c r="S125" s="283"/>
      <c r="T125" s="283"/>
      <c r="U125" s="382"/>
      <c r="V125" s="433"/>
      <c r="W125" s="376"/>
      <c r="X125" s="2">
        <v>46</v>
      </c>
    </row>
    <row r="126" spans="1:24" s="106" customFormat="1" ht="90" customHeight="1" x14ac:dyDescent="0.3">
      <c r="A126" s="385">
        <v>29</v>
      </c>
      <c r="B126" s="377" t="s">
        <v>56</v>
      </c>
      <c r="C126" s="377" t="s">
        <v>146</v>
      </c>
      <c r="D126" s="377" t="s">
        <v>147</v>
      </c>
      <c r="E126" s="377" t="s">
        <v>134</v>
      </c>
      <c r="F126" s="379">
        <v>45748</v>
      </c>
      <c r="G126" s="434" t="s">
        <v>276</v>
      </c>
      <c r="H126" s="381">
        <v>140987</v>
      </c>
      <c r="I126" s="383">
        <f>IF(X126 = 47, H126 + SUM(S126:S135) - SUM(T126:T135) - SUM(P126:P135) - V126,0)</f>
        <v>48473</v>
      </c>
      <c r="J126" s="436">
        <v>2353020735</v>
      </c>
      <c r="K126" s="438" t="s">
        <v>156</v>
      </c>
      <c r="L126" s="377" t="s">
        <v>146</v>
      </c>
      <c r="M126" s="377"/>
      <c r="N126" s="286">
        <v>45800</v>
      </c>
      <c r="O126" s="379" t="s">
        <v>183</v>
      </c>
      <c r="P126" s="280">
        <v>3944.4</v>
      </c>
      <c r="Q126" s="281">
        <v>45812</v>
      </c>
      <c r="R126" s="282"/>
      <c r="S126" s="280"/>
      <c r="T126" s="280"/>
      <c r="U126" s="381"/>
      <c r="V126" s="432"/>
      <c r="W126" s="375"/>
      <c r="X126" s="106">
        <v>47</v>
      </c>
    </row>
    <row r="127" spans="1:24" s="2" customFormat="1" x14ac:dyDescent="0.3">
      <c r="A127" s="440"/>
      <c r="B127" s="443"/>
      <c r="C127" s="443"/>
      <c r="D127" s="443"/>
      <c r="E127" s="443"/>
      <c r="F127" s="441"/>
      <c r="G127" s="446"/>
      <c r="H127" s="442"/>
      <c r="I127" s="447"/>
      <c r="J127" s="448"/>
      <c r="K127" s="449"/>
      <c r="L127" s="443"/>
      <c r="M127" s="443"/>
      <c r="N127" s="290">
        <v>45800</v>
      </c>
      <c r="O127" s="441"/>
      <c r="P127" s="291">
        <v>1330</v>
      </c>
      <c r="Q127" s="292">
        <v>45812</v>
      </c>
      <c r="R127" s="293"/>
      <c r="S127" s="291"/>
      <c r="T127" s="291"/>
      <c r="U127" s="442"/>
      <c r="V127" s="444"/>
      <c r="W127" s="445"/>
      <c r="X127" s="2">
        <v>47</v>
      </c>
    </row>
    <row r="128" spans="1:24" s="2" customFormat="1" x14ac:dyDescent="0.3">
      <c r="A128" s="440"/>
      <c r="B128" s="443"/>
      <c r="C128" s="443"/>
      <c r="D128" s="443"/>
      <c r="E128" s="443"/>
      <c r="F128" s="441"/>
      <c r="G128" s="446"/>
      <c r="H128" s="442"/>
      <c r="I128" s="447"/>
      <c r="J128" s="448"/>
      <c r="K128" s="449"/>
      <c r="L128" s="443"/>
      <c r="M128" s="443"/>
      <c r="N128" s="290">
        <v>45800</v>
      </c>
      <c r="O128" s="441"/>
      <c r="P128" s="291">
        <v>11375.7</v>
      </c>
      <c r="Q128" s="292">
        <v>45812</v>
      </c>
      <c r="R128" s="293"/>
      <c r="S128" s="291"/>
      <c r="T128" s="291"/>
      <c r="U128" s="442"/>
      <c r="V128" s="444"/>
      <c r="W128" s="445"/>
      <c r="X128" s="2">
        <v>47</v>
      </c>
    </row>
    <row r="129" spans="1:24" s="2" customFormat="1" x14ac:dyDescent="0.3">
      <c r="A129" s="440"/>
      <c r="B129" s="443"/>
      <c r="C129" s="443"/>
      <c r="D129" s="443"/>
      <c r="E129" s="443"/>
      <c r="F129" s="441"/>
      <c r="G129" s="446"/>
      <c r="H129" s="442"/>
      <c r="I129" s="447"/>
      <c r="J129" s="448"/>
      <c r="K129" s="449"/>
      <c r="L129" s="443"/>
      <c r="M129" s="443"/>
      <c r="N129" s="290">
        <v>45800</v>
      </c>
      <c r="O129" s="441"/>
      <c r="P129" s="291">
        <v>9307.5</v>
      </c>
      <c r="Q129" s="292">
        <v>45812</v>
      </c>
      <c r="R129" s="293"/>
      <c r="S129" s="291"/>
      <c r="T129" s="291"/>
      <c r="U129" s="442"/>
      <c r="V129" s="444"/>
      <c r="W129" s="445"/>
      <c r="X129" s="2">
        <v>47</v>
      </c>
    </row>
    <row r="130" spans="1:24" s="2" customFormat="1" x14ac:dyDescent="0.3">
      <c r="A130" s="440"/>
      <c r="B130" s="443"/>
      <c r="C130" s="443"/>
      <c r="D130" s="443"/>
      <c r="E130" s="443"/>
      <c r="F130" s="441"/>
      <c r="G130" s="446"/>
      <c r="H130" s="442"/>
      <c r="I130" s="447"/>
      <c r="J130" s="448"/>
      <c r="K130" s="449"/>
      <c r="L130" s="443"/>
      <c r="M130" s="443"/>
      <c r="N130" s="290">
        <v>45800</v>
      </c>
      <c r="O130" s="441"/>
      <c r="P130" s="291">
        <v>6965</v>
      </c>
      <c r="Q130" s="292">
        <v>45813</v>
      </c>
      <c r="R130" s="293"/>
      <c r="S130" s="291"/>
      <c r="T130" s="291"/>
      <c r="U130" s="442"/>
      <c r="V130" s="444"/>
      <c r="W130" s="445"/>
      <c r="X130" s="2">
        <v>47</v>
      </c>
    </row>
    <row r="131" spans="1:24" s="2" customFormat="1" x14ac:dyDescent="0.3">
      <c r="A131" s="440"/>
      <c r="B131" s="443"/>
      <c r="C131" s="443"/>
      <c r="D131" s="443"/>
      <c r="E131" s="443"/>
      <c r="F131" s="441"/>
      <c r="G131" s="446"/>
      <c r="H131" s="442"/>
      <c r="I131" s="447"/>
      <c r="J131" s="448"/>
      <c r="K131" s="449"/>
      <c r="L131" s="443"/>
      <c r="M131" s="443"/>
      <c r="N131" s="290">
        <v>45777</v>
      </c>
      <c r="O131" s="441"/>
      <c r="P131" s="291">
        <v>16229.26</v>
      </c>
      <c r="Q131" s="292">
        <v>45798</v>
      </c>
      <c r="R131" s="293"/>
      <c r="S131" s="291"/>
      <c r="T131" s="291"/>
      <c r="U131" s="442"/>
      <c r="V131" s="444"/>
      <c r="W131" s="445"/>
      <c r="X131" s="2">
        <v>47</v>
      </c>
    </row>
    <row r="132" spans="1:24" s="2" customFormat="1" x14ac:dyDescent="0.3">
      <c r="A132" s="440"/>
      <c r="B132" s="443"/>
      <c r="C132" s="443"/>
      <c r="D132" s="443"/>
      <c r="E132" s="443"/>
      <c r="F132" s="441"/>
      <c r="G132" s="446"/>
      <c r="H132" s="442"/>
      <c r="I132" s="447"/>
      <c r="J132" s="448"/>
      <c r="K132" s="449"/>
      <c r="L132" s="443"/>
      <c r="M132" s="443"/>
      <c r="N132" s="290">
        <v>45777</v>
      </c>
      <c r="O132" s="441"/>
      <c r="P132" s="291">
        <v>8511.6</v>
      </c>
      <c r="Q132" s="292">
        <v>45798</v>
      </c>
      <c r="R132" s="293"/>
      <c r="S132" s="291"/>
      <c r="T132" s="291"/>
      <c r="U132" s="442"/>
      <c r="V132" s="444"/>
      <c r="W132" s="445"/>
      <c r="X132" s="2">
        <v>47</v>
      </c>
    </row>
    <row r="133" spans="1:24" s="2" customFormat="1" x14ac:dyDescent="0.3">
      <c r="A133" s="440"/>
      <c r="B133" s="443"/>
      <c r="C133" s="443"/>
      <c r="D133" s="443"/>
      <c r="E133" s="443"/>
      <c r="F133" s="441"/>
      <c r="G133" s="446"/>
      <c r="H133" s="442"/>
      <c r="I133" s="447"/>
      <c r="J133" s="448"/>
      <c r="K133" s="449"/>
      <c r="L133" s="443"/>
      <c r="M133" s="443"/>
      <c r="N133" s="290">
        <v>45777</v>
      </c>
      <c r="O133" s="441"/>
      <c r="P133" s="291">
        <v>2870</v>
      </c>
      <c r="Q133" s="292">
        <v>45798</v>
      </c>
      <c r="R133" s="293"/>
      <c r="S133" s="291"/>
      <c r="T133" s="291"/>
      <c r="U133" s="442"/>
      <c r="V133" s="444"/>
      <c r="W133" s="445"/>
      <c r="X133" s="2">
        <v>47</v>
      </c>
    </row>
    <row r="134" spans="1:24" s="2" customFormat="1" x14ac:dyDescent="0.3">
      <c r="A134" s="440"/>
      <c r="B134" s="443"/>
      <c r="C134" s="443"/>
      <c r="D134" s="443"/>
      <c r="E134" s="443"/>
      <c r="F134" s="441"/>
      <c r="G134" s="446"/>
      <c r="H134" s="442"/>
      <c r="I134" s="447"/>
      <c r="J134" s="448"/>
      <c r="K134" s="449"/>
      <c r="L134" s="443"/>
      <c r="M134" s="443"/>
      <c r="N134" s="290">
        <v>45777</v>
      </c>
      <c r="O134" s="441"/>
      <c r="P134" s="291">
        <v>12145</v>
      </c>
      <c r="Q134" s="292">
        <v>45798</v>
      </c>
      <c r="R134" s="293"/>
      <c r="S134" s="291"/>
      <c r="T134" s="291"/>
      <c r="U134" s="442"/>
      <c r="V134" s="444"/>
      <c r="W134" s="445"/>
      <c r="X134" s="2">
        <v>47</v>
      </c>
    </row>
    <row r="135" spans="1:24" s="2" customFormat="1" x14ac:dyDescent="0.3">
      <c r="A135" s="459"/>
      <c r="B135" s="452"/>
      <c r="C135" s="452"/>
      <c r="D135" s="452"/>
      <c r="E135" s="452"/>
      <c r="F135" s="450"/>
      <c r="G135" s="455"/>
      <c r="H135" s="451"/>
      <c r="I135" s="456"/>
      <c r="J135" s="457"/>
      <c r="K135" s="458"/>
      <c r="L135" s="452"/>
      <c r="M135" s="452"/>
      <c r="N135" s="295">
        <v>45777</v>
      </c>
      <c r="O135" s="450"/>
      <c r="P135" s="296">
        <v>19835.54</v>
      </c>
      <c r="Q135" s="297">
        <v>45798</v>
      </c>
      <c r="R135" s="298"/>
      <c r="S135" s="296"/>
      <c r="T135" s="296"/>
      <c r="U135" s="451"/>
      <c r="V135" s="453"/>
      <c r="W135" s="454"/>
      <c r="X135" s="2">
        <v>47</v>
      </c>
    </row>
    <row r="136" spans="1:24" s="106" customFormat="1" ht="90" customHeight="1" x14ac:dyDescent="0.3">
      <c r="A136" s="440">
        <v>30</v>
      </c>
      <c r="B136" s="443" t="s">
        <v>56</v>
      </c>
      <c r="C136" s="443" t="s">
        <v>277</v>
      </c>
      <c r="D136" s="443" t="s">
        <v>147</v>
      </c>
      <c r="E136" s="443" t="s">
        <v>135</v>
      </c>
      <c r="F136" s="441">
        <v>45748</v>
      </c>
      <c r="G136" s="446" t="s">
        <v>276</v>
      </c>
      <c r="H136" s="442">
        <v>37730</v>
      </c>
      <c r="I136" s="447">
        <f>IF(X136 = 48, H136 + SUM(S136:S139) - SUM(T136:T139) - SUM(P136:P139) - V136,0)</f>
        <v>8778</v>
      </c>
      <c r="J136" s="448">
        <v>2353020735</v>
      </c>
      <c r="K136" s="449" t="s">
        <v>156</v>
      </c>
      <c r="L136" s="443" t="s">
        <v>146</v>
      </c>
      <c r="M136" s="443"/>
      <c r="N136" s="299">
        <v>45800</v>
      </c>
      <c r="O136" s="441" t="s">
        <v>183</v>
      </c>
      <c r="P136" s="300">
        <v>8377.6</v>
      </c>
      <c r="Q136" s="301">
        <v>45813</v>
      </c>
      <c r="R136" s="302"/>
      <c r="S136" s="300"/>
      <c r="T136" s="300"/>
      <c r="U136" s="442"/>
      <c r="V136" s="444"/>
      <c r="W136" s="445"/>
      <c r="X136" s="106">
        <v>48</v>
      </c>
    </row>
    <row r="137" spans="1:24" s="2" customFormat="1" x14ac:dyDescent="0.3">
      <c r="A137" s="440"/>
      <c r="B137" s="443"/>
      <c r="C137" s="443"/>
      <c r="D137" s="443"/>
      <c r="E137" s="443"/>
      <c r="F137" s="441"/>
      <c r="G137" s="446"/>
      <c r="H137" s="442"/>
      <c r="I137" s="447"/>
      <c r="J137" s="448"/>
      <c r="K137" s="449"/>
      <c r="L137" s="443"/>
      <c r="M137" s="443"/>
      <c r="N137" s="290">
        <v>45800</v>
      </c>
      <c r="O137" s="441"/>
      <c r="P137" s="291">
        <v>2094.4</v>
      </c>
      <c r="Q137" s="292">
        <v>45813</v>
      </c>
      <c r="R137" s="293"/>
      <c r="S137" s="291"/>
      <c r="T137" s="291"/>
      <c r="U137" s="442"/>
      <c r="V137" s="444"/>
      <c r="W137" s="445"/>
      <c r="X137" s="2">
        <v>48</v>
      </c>
    </row>
    <row r="138" spans="1:24" s="2" customFormat="1" x14ac:dyDescent="0.3">
      <c r="A138" s="440"/>
      <c r="B138" s="443"/>
      <c r="C138" s="443"/>
      <c r="D138" s="443"/>
      <c r="E138" s="443"/>
      <c r="F138" s="441"/>
      <c r="G138" s="446"/>
      <c r="H138" s="442"/>
      <c r="I138" s="447"/>
      <c r="J138" s="448"/>
      <c r="K138" s="449"/>
      <c r="L138" s="443"/>
      <c r="M138" s="443"/>
      <c r="N138" s="290">
        <v>45777</v>
      </c>
      <c r="O138" s="441"/>
      <c r="P138" s="291">
        <v>3696</v>
      </c>
      <c r="Q138" s="292">
        <v>45798</v>
      </c>
      <c r="R138" s="293"/>
      <c r="S138" s="291"/>
      <c r="T138" s="291"/>
      <c r="U138" s="442"/>
      <c r="V138" s="444"/>
      <c r="W138" s="445"/>
      <c r="X138" s="2">
        <v>48</v>
      </c>
    </row>
    <row r="139" spans="1:24" s="2" customFormat="1" x14ac:dyDescent="0.3">
      <c r="A139" s="386"/>
      <c r="B139" s="378"/>
      <c r="C139" s="378"/>
      <c r="D139" s="378"/>
      <c r="E139" s="378"/>
      <c r="F139" s="380"/>
      <c r="G139" s="435"/>
      <c r="H139" s="382"/>
      <c r="I139" s="384"/>
      <c r="J139" s="437"/>
      <c r="K139" s="439"/>
      <c r="L139" s="378"/>
      <c r="M139" s="378"/>
      <c r="N139" s="287">
        <v>45777</v>
      </c>
      <c r="O139" s="380"/>
      <c r="P139" s="283">
        <v>14784</v>
      </c>
      <c r="Q139" s="284">
        <v>45433</v>
      </c>
      <c r="R139" s="285"/>
      <c r="S139" s="283"/>
      <c r="T139" s="283"/>
      <c r="U139" s="382"/>
      <c r="V139" s="433"/>
      <c r="W139" s="376"/>
      <c r="X139" s="2">
        <v>48</v>
      </c>
    </row>
    <row r="140" spans="1:24" s="106" customFormat="1" ht="108" x14ac:dyDescent="0.3">
      <c r="A140" s="235">
        <v>31</v>
      </c>
      <c r="B140" s="231" t="s">
        <v>56</v>
      </c>
      <c r="C140" s="231" t="s">
        <v>146</v>
      </c>
      <c r="D140" s="231" t="s">
        <v>147</v>
      </c>
      <c r="E140" s="231" t="s">
        <v>281</v>
      </c>
      <c r="F140" s="242">
        <v>45783</v>
      </c>
      <c r="G140" s="236" t="s">
        <v>282</v>
      </c>
      <c r="H140" s="237">
        <v>21340</v>
      </c>
      <c r="I140" s="238">
        <f>IF(X140 = 49, H140 + SUM(S140:S140) - SUM(T140:T140) - SUM(P140:P140) - V140,0)</f>
        <v>0</v>
      </c>
      <c r="J140" s="239">
        <v>235000239811</v>
      </c>
      <c r="K140" s="240" t="s">
        <v>238</v>
      </c>
      <c r="L140" s="231" t="s">
        <v>146</v>
      </c>
      <c r="M140" s="231"/>
      <c r="N140" s="242">
        <v>45784</v>
      </c>
      <c r="O140" s="242" t="s">
        <v>183</v>
      </c>
      <c r="P140" s="237">
        <v>21340</v>
      </c>
      <c r="Q140" s="236">
        <v>45790</v>
      </c>
      <c r="R140" s="231"/>
      <c r="S140" s="237"/>
      <c r="T140" s="237"/>
      <c r="U140" s="237"/>
      <c r="V140" s="241"/>
      <c r="W140" s="227"/>
      <c r="X140" s="106">
        <v>49</v>
      </c>
    </row>
    <row r="141" spans="1:24" s="106" customFormat="1" ht="108" x14ac:dyDescent="0.3">
      <c r="A141" s="235">
        <v>32</v>
      </c>
      <c r="B141" s="231" t="s">
        <v>56</v>
      </c>
      <c r="C141" s="231" t="s">
        <v>146</v>
      </c>
      <c r="D141" s="231" t="s">
        <v>147</v>
      </c>
      <c r="E141" s="231" t="s">
        <v>284</v>
      </c>
      <c r="F141" s="242">
        <v>45783</v>
      </c>
      <c r="G141" s="236" t="s">
        <v>283</v>
      </c>
      <c r="H141" s="237">
        <v>4800</v>
      </c>
      <c r="I141" s="238">
        <f>IF(X141 = 50, H141 + SUM(S141:S141) - SUM(T141:T141) - SUM(P141:P141) - V141,0)</f>
        <v>0</v>
      </c>
      <c r="J141" s="239">
        <v>235305769122</v>
      </c>
      <c r="K141" s="240" t="s">
        <v>159</v>
      </c>
      <c r="L141" s="231" t="s">
        <v>146</v>
      </c>
      <c r="M141" s="231"/>
      <c r="N141" s="242">
        <v>45783</v>
      </c>
      <c r="O141" s="242" t="s">
        <v>183</v>
      </c>
      <c r="P141" s="237">
        <v>4800</v>
      </c>
      <c r="Q141" s="236">
        <v>45789</v>
      </c>
      <c r="R141" s="231"/>
      <c r="S141" s="237"/>
      <c r="T141" s="237"/>
      <c r="U141" s="237"/>
      <c r="V141" s="241"/>
      <c r="W141" s="227"/>
      <c r="X141" s="106">
        <v>50</v>
      </c>
    </row>
    <row r="142" spans="1:24" s="106" customFormat="1" ht="108" x14ac:dyDescent="0.3">
      <c r="A142" s="235">
        <v>33</v>
      </c>
      <c r="B142" s="231" t="s">
        <v>56</v>
      </c>
      <c r="C142" s="231" t="s">
        <v>146</v>
      </c>
      <c r="D142" s="231" t="s">
        <v>147</v>
      </c>
      <c r="E142" s="231" t="s">
        <v>292</v>
      </c>
      <c r="F142" s="242">
        <v>45789</v>
      </c>
      <c r="G142" s="236" t="s">
        <v>191</v>
      </c>
      <c r="H142" s="237">
        <v>2000</v>
      </c>
      <c r="I142" s="238">
        <f>IF(X142 = 51, H142 + SUM(S142:S142) - SUM(T142:T142) - SUM(P142:P142) - V142,0)</f>
        <v>0</v>
      </c>
      <c r="J142" s="239">
        <v>235303483777</v>
      </c>
      <c r="K142" s="240" t="s">
        <v>210</v>
      </c>
      <c r="L142" s="231" t="s">
        <v>146</v>
      </c>
      <c r="M142" s="231"/>
      <c r="N142" s="242">
        <v>45789</v>
      </c>
      <c r="O142" s="242" t="s">
        <v>183</v>
      </c>
      <c r="P142" s="237">
        <v>2000</v>
      </c>
      <c r="Q142" s="236">
        <v>45792</v>
      </c>
      <c r="R142" s="231"/>
      <c r="S142" s="237"/>
      <c r="T142" s="237"/>
      <c r="U142" s="237"/>
      <c r="V142" s="241"/>
      <c r="W142" s="227"/>
      <c r="X142" s="106">
        <v>51</v>
      </c>
    </row>
    <row r="143" spans="1:24" s="106" customFormat="1" ht="108" x14ac:dyDescent="0.3">
      <c r="A143" s="235">
        <v>34</v>
      </c>
      <c r="B143" s="231" t="s">
        <v>56</v>
      </c>
      <c r="C143" s="231" t="s">
        <v>146</v>
      </c>
      <c r="D143" s="231" t="s">
        <v>147</v>
      </c>
      <c r="E143" s="231" t="s">
        <v>297</v>
      </c>
      <c r="F143" s="242">
        <v>45791</v>
      </c>
      <c r="G143" s="236" t="s">
        <v>191</v>
      </c>
      <c r="H143" s="237">
        <v>2800</v>
      </c>
      <c r="I143" s="238">
        <f>IF(X143 = 52, H143 + SUM(S143:S143) - SUM(T143:T143) - SUM(P143:P143) - V143,0)</f>
        <v>0</v>
      </c>
      <c r="J143" s="239">
        <v>235303483777</v>
      </c>
      <c r="K143" s="240" t="s">
        <v>210</v>
      </c>
      <c r="L143" s="231" t="s">
        <v>146</v>
      </c>
      <c r="M143" s="231"/>
      <c r="N143" s="242">
        <v>45791</v>
      </c>
      <c r="O143" s="242" t="s">
        <v>183</v>
      </c>
      <c r="P143" s="237">
        <v>2800</v>
      </c>
      <c r="Q143" s="236">
        <v>45792</v>
      </c>
      <c r="R143" s="231"/>
      <c r="S143" s="237"/>
      <c r="T143" s="237"/>
      <c r="U143" s="237"/>
      <c r="V143" s="241"/>
      <c r="W143" s="227"/>
      <c r="X143" s="106">
        <v>52</v>
      </c>
    </row>
    <row r="144" spans="1:24" s="106" customFormat="1" ht="108" x14ac:dyDescent="0.3">
      <c r="A144" s="235">
        <v>35</v>
      </c>
      <c r="B144" s="233" t="s">
        <v>56</v>
      </c>
      <c r="C144" s="233" t="s">
        <v>146</v>
      </c>
      <c r="D144" s="233" t="s">
        <v>147</v>
      </c>
      <c r="E144" s="233" t="s">
        <v>302</v>
      </c>
      <c r="F144" s="265">
        <v>45812</v>
      </c>
      <c r="G144" s="236" t="s">
        <v>191</v>
      </c>
      <c r="H144" s="237">
        <v>14500</v>
      </c>
      <c r="I144" s="238">
        <f>IF(X144 = 53, H144 + SUM(S144:S144) - SUM(T144:T144) - SUM(P144:P144) - V144,0)</f>
        <v>0</v>
      </c>
      <c r="J144" s="239">
        <v>235303483777</v>
      </c>
      <c r="K144" s="240" t="s">
        <v>210</v>
      </c>
      <c r="L144" s="233" t="s">
        <v>146</v>
      </c>
      <c r="M144" s="233"/>
      <c r="N144" s="265">
        <v>45812</v>
      </c>
      <c r="O144" s="242" t="s">
        <v>183</v>
      </c>
      <c r="P144" s="237">
        <v>14500</v>
      </c>
      <c r="Q144" s="236">
        <v>45818</v>
      </c>
      <c r="R144" s="233"/>
      <c r="S144" s="237"/>
      <c r="T144" s="237"/>
      <c r="U144" s="237"/>
      <c r="V144" s="241"/>
      <c r="W144" s="234"/>
      <c r="X144" s="106">
        <v>53</v>
      </c>
    </row>
    <row r="145" spans="1:24" s="106" customFormat="1" ht="108" x14ac:dyDescent="0.3">
      <c r="A145" s="235">
        <v>36</v>
      </c>
      <c r="B145" s="233" t="s">
        <v>56</v>
      </c>
      <c r="C145" s="233" t="s">
        <v>146</v>
      </c>
      <c r="D145" s="233" t="s">
        <v>147</v>
      </c>
      <c r="E145" s="233" t="s">
        <v>303</v>
      </c>
      <c r="F145" s="265">
        <v>45799</v>
      </c>
      <c r="G145" s="236" t="s">
        <v>191</v>
      </c>
      <c r="H145" s="237">
        <v>8800</v>
      </c>
      <c r="I145" s="238">
        <f>IF(X145 = 54, H145 + SUM(S145:S145) - SUM(T145:T145) - SUM(P145:P145) - V145,0)</f>
        <v>0</v>
      </c>
      <c r="J145" s="239">
        <v>235303483777</v>
      </c>
      <c r="K145" s="240" t="s">
        <v>210</v>
      </c>
      <c r="L145" s="233" t="s">
        <v>146</v>
      </c>
      <c r="M145" s="233"/>
      <c r="N145" s="265">
        <v>45799</v>
      </c>
      <c r="O145" s="242" t="s">
        <v>183</v>
      </c>
      <c r="P145" s="237">
        <v>8800</v>
      </c>
      <c r="Q145" s="236">
        <v>45806</v>
      </c>
      <c r="R145" s="233"/>
      <c r="S145" s="237"/>
      <c r="T145" s="237"/>
      <c r="U145" s="237"/>
      <c r="V145" s="241"/>
      <c r="W145" s="234"/>
      <c r="X145" s="106">
        <v>54</v>
      </c>
    </row>
    <row r="146" spans="1:24" x14ac:dyDescent="0.3">
      <c r="B146" s="107"/>
      <c r="X146" s="8">
        <v>55</v>
      </c>
    </row>
    <row r="147" spans="1:24" x14ac:dyDescent="0.3">
      <c r="B147" s="107"/>
    </row>
    <row r="148" spans="1:24" x14ac:dyDescent="0.3">
      <c r="B148" s="107"/>
    </row>
    <row r="149" spans="1:24" x14ac:dyDescent="0.3">
      <c r="B149" s="107"/>
      <c r="E149" s="45"/>
    </row>
  </sheetData>
  <sheetProtection password="EB34" sheet="1" objects="1" scenarios="1" formatCells="0" formatColumns="0" formatRows="0"/>
  <mergeCells count="360">
    <mergeCell ref="A87:A92"/>
    <mergeCell ref="O87:O92"/>
    <mergeCell ref="U87:U92"/>
    <mergeCell ref="B87:B92"/>
    <mergeCell ref="V87:V92"/>
    <mergeCell ref="C87:C92"/>
    <mergeCell ref="W87:W92"/>
    <mergeCell ref="A93:A97"/>
    <mergeCell ref="O93:O97"/>
    <mergeCell ref="U93:U97"/>
    <mergeCell ref="B93:B97"/>
    <mergeCell ref="V93:V97"/>
    <mergeCell ref="C93:C97"/>
    <mergeCell ref="W93:W97"/>
    <mergeCell ref="D93:D97"/>
    <mergeCell ref="E93:E97"/>
    <mergeCell ref="F93:F97"/>
    <mergeCell ref="G93:G97"/>
    <mergeCell ref="H93:H97"/>
    <mergeCell ref="I93:I97"/>
    <mergeCell ref="J93:J97"/>
    <mergeCell ref="K93:K97"/>
    <mergeCell ref="L93:L97"/>
    <mergeCell ref="M93:M97"/>
    <mergeCell ref="U49:U53"/>
    <mergeCell ref="B49:B53"/>
    <mergeCell ref="V49:V53"/>
    <mergeCell ref="C49:C53"/>
    <mergeCell ref="W49:W53"/>
    <mergeCell ref="D49:D53"/>
    <mergeCell ref="E49:E53"/>
    <mergeCell ref="F49:F53"/>
    <mergeCell ref="G49:G53"/>
    <mergeCell ref="H49:H53"/>
    <mergeCell ref="I49:I53"/>
    <mergeCell ref="J49:J53"/>
    <mergeCell ref="K49:K53"/>
    <mergeCell ref="L49:L53"/>
    <mergeCell ref="M49:M53"/>
    <mergeCell ref="A111:A112"/>
    <mergeCell ref="O111:O112"/>
    <mergeCell ref="U111:U112"/>
    <mergeCell ref="B111:B112"/>
    <mergeCell ref="V111:V112"/>
    <mergeCell ref="C111:C112"/>
    <mergeCell ref="W111:W112"/>
    <mergeCell ref="D111:D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M111:M112"/>
    <mergeCell ref="S2:U2"/>
    <mergeCell ref="F2:G2"/>
    <mergeCell ref="N2:O2"/>
    <mergeCell ref="U38:U42"/>
    <mergeCell ref="B38:B42"/>
    <mergeCell ref="C38:C42"/>
    <mergeCell ref="D38:D42"/>
    <mergeCell ref="E38:E42"/>
    <mergeCell ref="F38:F42"/>
    <mergeCell ref="G38:G42"/>
    <mergeCell ref="H38:H42"/>
    <mergeCell ref="I38:I42"/>
    <mergeCell ref="J38:J42"/>
    <mergeCell ref="K38:K42"/>
    <mergeCell ref="L38:L42"/>
    <mergeCell ref="M38:M42"/>
    <mergeCell ref="U33:U37"/>
    <mergeCell ref="B33:B37"/>
    <mergeCell ref="W38:W42"/>
    <mergeCell ref="A107:A108"/>
    <mergeCell ref="O107:O108"/>
    <mergeCell ref="U107:U108"/>
    <mergeCell ref="B107:B108"/>
    <mergeCell ref="V107:V108"/>
    <mergeCell ref="C107:C108"/>
    <mergeCell ref="W107:W108"/>
    <mergeCell ref="D107:D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A43:A47"/>
    <mergeCell ref="O43:O47"/>
    <mergeCell ref="U43:U47"/>
    <mergeCell ref="B43:B47"/>
    <mergeCell ref="C43:C47"/>
    <mergeCell ref="A49:A53"/>
    <mergeCell ref="W43:W47"/>
    <mergeCell ref="V43:V47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W33:W37"/>
    <mergeCell ref="W17:W32"/>
    <mergeCell ref="A33:A37"/>
    <mergeCell ref="O33:O37"/>
    <mergeCell ref="D43:D47"/>
    <mergeCell ref="W54:W68"/>
    <mergeCell ref="D54:D68"/>
    <mergeCell ref="E54:E68"/>
    <mergeCell ref="F54:F68"/>
    <mergeCell ref="G54:G68"/>
    <mergeCell ref="H54:H68"/>
    <mergeCell ref="I54:I68"/>
    <mergeCell ref="J54:J68"/>
    <mergeCell ref="K54:K68"/>
    <mergeCell ref="L54:L68"/>
    <mergeCell ref="M54:M68"/>
    <mergeCell ref="W69:W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V101:V106"/>
    <mergeCell ref="C101:C106"/>
    <mergeCell ref="W101:W106"/>
    <mergeCell ref="A98:A100"/>
    <mergeCell ref="O98:O100"/>
    <mergeCell ref="U98:U100"/>
    <mergeCell ref="B98:B100"/>
    <mergeCell ref="V98:V100"/>
    <mergeCell ref="C98:C100"/>
    <mergeCell ref="W98:W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L98:L100"/>
    <mergeCell ref="M98:M100"/>
    <mergeCell ref="H101:H106"/>
    <mergeCell ref="I101:I106"/>
    <mergeCell ref="J101:J106"/>
    <mergeCell ref="K101:K106"/>
    <mergeCell ref="L101:L106"/>
    <mergeCell ref="A101:A106"/>
    <mergeCell ref="O101:O106"/>
    <mergeCell ref="U101:U106"/>
    <mergeCell ref="B101:B106"/>
    <mergeCell ref="A17:A32"/>
    <mergeCell ref="O17:O32"/>
    <mergeCell ref="U17:U32"/>
    <mergeCell ref="B17:B32"/>
    <mergeCell ref="A72:A86"/>
    <mergeCell ref="O72:O86"/>
    <mergeCell ref="U72:U86"/>
    <mergeCell ref="B72:B86"/>
    <mergeCell ref="C54:C68"/>
    <mergeCell ref="M43:M47"/>
    <mergeCell ref="E43:E47"/>
    <mergeCell ref="F43:F47"/>
    <mergeCell ref="G43:G47"/>
    <mergeCell ref="H43:H47"/>
    <mergeCell ref="I43:I47"/>
    <mergeCell ref="J43:J47"/>
    <mergeCell ref="K43:K47"/>
    <mergeCell ref="L43:L47"/>
    <mergeCell ref="A38:A42"/>
    <mergeCell ref="V17:V32"/>
    <mergeCell ref="C17:C32"/>
    <mergeCell ref="A69:A71"/>
    <mergeCell ref="O69:O71"/>
    <mergeCell ref="D17:D32"/>
    <mergeCell ref="E17:E32"/>
    <mergeCell ref="F17:F32"/>
    <mergeCell ref="G17:G32"/>
    <mergeCell ref="H17:H32"/>
    <mergeCell ref="I17:I32"/>
    <mergeCell ref="J17:J32"/>
    <mergeCell ref="K17:K32"/>
    <mergeCell ref="L17:L32"/>
    <mergeCell ref="M17:M32"/>
    <mergeCell ref="V69:V71"/>
    <mergeCell ref="C69:C71"/>
    <mergeCell ref="A54:A68"/>
    <mergeCell ref="O54:O68"/>
    <mergeCell ref="U54:U68"/>
    <mergeCell ref="B54:B68"/>
    <mergeCell ref="V54:V68"/>
    <mergeCell ref="O38:O42"/>
    <mergeCell ref="V38:V42"/>
    <mergeCell ref="O49:O53"/>
    <mergeCell ref="O118:O120"/>
    <mergeCell ref="U118:U120"/>
    <mergeCell ref="B118:B120"/>
    <mergeCell ref="V118:V120"/>
    <mergeCell ref="C118:C120"/>
    <mergeCell ref="W118:W120"/>
    <mergeCell ref="V33:V37"/>
    <mergeCell ref="C33:C37"/>
    <mergeCell ref="U69:U71"/>
    <mergeCell ref="B69:B71"/>
    <mergeCell ref="M33:M37"/>
    <mergeCell ref="D33:D37"/>
    <mergeCell ref="E33:E37"/>
    <mergeCell ref="F33:F37"/>
    <mergeCell ref="G33:G37"/>
    <mergeCell ref="H33:H37"/>
    <mergeCell ref="I33:I37"/>
    <mergeCell ref="J33:J37"/>
    <mergeCell ref="K33:K37"/>
    <mergeCell ref="L33:L37"/>
    <mergeCell ref="M101:M106"/>
    <mergeCell ref="D101:D106"/>
    <mergeCell ref="E101:E106"/>
    <mergeCell ref="F101:F106"/>
    <mergeCell ref="A12:A16"/>
    <mergeCell ref="O12:O16"/>
    <mergeCell ref="U12:U16"/>
    <mergeCell ref="B12:B16"/>
    <mergeCell ref="V12:V16"/>
    <mergeCell ref="C12:C16"/>
    <mergeCell ref="W12:W16"/>
    <mergeCell ref="D12:D16"/>
    <mergeCell ref="E12:E16"/>
    <mergeCell ref="F12:F16"/>
    <mergeCell ref="G12:G16"/>
    <mergeCell ref="H12:H16"/>
    <mergeCell ref="I12:I16"/>
    <mergeCell ref="J12:J16"/>
    <mergeCell ref="K12:K16"/>
    <mergeCell ref="L12:L16"/>
    <mergeCell ref="M12:M16"/>
    <mergeCell ref="V72:V86"/>
    <mergeCell ref="C72:C86"/>
    <mergeCell ref="W72:W86"/>
    <mergeCell ref="D72:D86"/>
    <mergeCell ref="E72:E86"/>
    <mergeCell ref="F72:F86"/>
    <mergeCell ref="G72:G86"/>
    <mergeCell ref="H72:H86"/>
    <mergeCell ref="I72:I86"/>
    <mergeCell ref="J72:J86"/>
    <mergeCell ref="K72:K86"/>
    <mergeCell ref="L72:L86"/>
    <mergeCell ref="M72:M86"/>
    <mergeCell ref="A126:A135"/>
    <mergeCell ref="A124:A125"/>
    <mergeCell ref="M87:M92"/>
    <mergeCell ref="D87:D92"/>
    <mergeCell ref="E87:E92"/>
    <mergeCell ref="F87:F92"/>
    <mergeCell ref="G87:G92"/>
    <mergeCell ref="H87:H92"/>
    <mergeCell ref="I87:I92"/>
    <mergeCell ref="J87:J92"/>
    <mergeCell ref="K87:K92"/>
    <mergeCell ref="L87:L92"/>
    <mergeCell ref="M118:M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L118:L120"/>
    <mergeCell ref="A118:A120"/>
    <mergeCell ref="G101:G106"/>
    <mergeCell ref="O126:O135"/>
    <mergeCell ref="U126:U135"/>
    <mergeCell ref="B126:B135"/>
    <mergeCell ref="V126:V135"/>
    <mergeCell ref="C126:C135"/>
    <mergeCell ref="W126:W135"/>
    <mergeCell ref="D126:D135"/>
    <mergeCell ref="E126:E135"/>
    <mergeCell ref="F126:F135"/>
    <mergeCell ref="G126:G135"/>
    <mergeCell ref="H126:H135"/>
    <mergeCell ref="I126:I135"/>
    <mergeCell ref="J126:J135"/>
    <mergeCell ref="K126:K135"/>
    <mergeCell ref="L126:L135"/>
    <mergeCell ref="M126:M135"/>
    <mergeCell ref="A136:A139"/>
    <mergeCell ref="O136:O139"/>
    <mergeCell ref="U136:U139"/>
    <mergeCell ref="B136:B139"/>
    <mergeCell ref="V136:V139"/>
    <mergeCell ref="C136:C139"/>
    <mergeCell ref="W136:W139"/>
    <mergeCell ref="D136:D139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A122:A123"/>
    <mergeCell ref="O122:O123"/>
    <mergeCell ref="U122:U123"/>
    <mergeCell ref="B122:B123"/>
    <mergeCell ref="V122:V123"/>
    <mergeCell ref="C122:C123"/>
    <mergeCell ref="W122:W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O124:O125"/>
    <mergeCell ref="U124:U125"/>
    <mergeCell ref="B124:B125"/>
    <mergeCell ref="V124:V125"/>
    <mergeCell ref="C124:C125"/>
    <mergeCell ref="W124:W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14"/>
  <sheetViews>
    <sheetView showGridLines="0" zoomScale="70" zoomScaleNormal="70" workbookViewId="0">
      <pane ySplit="8" topLeftCell="A9" activePane="bottomLeft" state="frozen"/>
      <selection pane="bottomLeft" activeCell="N10" sqref="N10:N12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546" t="s">
        <v>24</v>
      </c>
      <c r="F2" s="547"/>
      <c r="G2" s="98">
        <f>SUM(G9:G9999)</f>
        <v>2340353.5699999998</v>
      </c>
      <c r="L2" s="598" t="s">
        <v>137</v>
      </c>
      <c r="M2" s="599"/>
      <c r="N2" s="87">
        <f>SUM(N9:N9999)</f>
        <v>1569625.8699999999</v>
      </c>
      <c r="P2" s="86"/>
      <c r="Q2" s="428" t="s">
        <v>45</v>
      </c>
      <c r="R2" s="429"/>
      <c r="S2" s="430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592">
        <v>1</v>
      </c>
      <c r="B9" s="595"/>
      <c r="C9" s="595" t="s">
        <v>170</v>
      </c>
      <c r="D9" s="595" t="s">
        <v>152</v>
      </c>
      <c r="E9" s="606">
        <v>45654</v>
      </c>
      <c r="F9" s="600" t="s">
        <v>153</v>
      </c>
      <c r="G9" s="609">
        <v>1380000</v>
      </c>
      <c r="H9" s="612">
        <f>IF(V9 = 1, G9 + SUM(Q9:Q12) - SUM(R9:R12) - SUM(N9:N12) - T9,0)</f>
        <v>570846.15000000014</v>
      </c>
      <c r="I9" s="615">
        <v>2312054894</v>
      </c>
      <c r="J9" s="595" t="s">
        <v>154</v>
      </c>
      <c r="K9" s="595" t="s">
        <v>155</v>
      </c>
      <c r="L9" s="322">
        <v>45688</v>
      </c>
      <c r="M9" s="595" t="s">
        <v>151</v>
      </c>
      <c r="N9" s="316">
        <v>250889.21</v>
      </c>
      <c r="O9" s="322">
        <v>45706</v>
      </c>
      <c r="P9" s="317"/>
      <c r="Q9" s="316"/>
      <c r="R9" s="316"/>
      <c r="S9" s="600"/>
      <c r="T9" s="609"/>
      <c r="U9" s="603"/>
      <c r="V9" s="106">
        <v>1</v>
      </c>
    </row>
    <row r="10" spans="1:22" s="2" customFormat="1" x14ac:dyDescent="0.3">
      <c r="A10" s="593"/>
      <c r="B10" s="596"/>
      <c r="C10" s="596"/>
      <c r="D10" s="596"/>
      <c r="E10" s="607"/>
      <c r="F10" s="601"/>
      <c r="G10" s="610"/>
      <c r="H10" s="613"/>
      <c r="I10" s="616"/>
      <c r="J10" s="596"/>
      <c r="K10" s="596"/>
      <c r="L10" s="323">
        <v>45716</v>
      </c>
      <c r="M10" s="596"/>
      <c r="N10" s="318">
        <v>299048.48</v>
      </c>
      <c r="O10" s="323">
        <v>45734</v>
      </c>
      <c r="P10" s="319"/>
      <c r="Q10" s="318"/>
      <c r="R10" s="318"/>
      <c r="S10" s="601"/>
      <c r="T10" s="610"/>
      <c r="U10" s="604"/>
      <c r="V10" s="2">
        <v>1</v>
      </c>
    </row>
    <row r="11" spans="1:22" s="2" customFormat="1" x14ac:dyDescent="0.3">
      <c r="A11" s="593"/>
      <c r="B11" s="596"/>
      <c r="C11" s="596"/>
      <c r="D11" s="596"/>
      <c r="E11" s="607"/>
      <c r="F11" s="601"/>
      <c r="G11" s="610"/>
      <c r="H11" s="613"/>
      <c r="I11" s="616"/>
      <c r="J11" s="596"/>
      <c r="K11" s="596"/>
      <c r="L11" s="323">
        <v>45747</v>
      </c>
      <c r="M11" s="596"/>
      <c r="N11" s="318">
        <v>191076.7</v>
      </c>
      <c r="O11" s="323">
        <v>45761</v>
      </c>
      <c r="P11" s="319"/>
      <c r="Q11" s="318"/>
      <c r="R11" s="318"/>
      <c r="S11" s="601"/>
      <c r="T11" s="610"/>
      <c r="U11" s="604"/>
      <c r="V11" s="2">
        <v>1</v>
      </c>
    </row>
    <row r="12" spans="1:22" s="2" customFormat="1" x14ac:dyDescent="0.3">
      <c r="A12" s="594"/>
      <c r="B12" s="597"/>
      <c r="C12" s="597"/>
      <c r="D12" s="597"/>
      <c r="E12" s="608"/>
      <c r="F12" s="602"/>
      <c r="G12" s="611"/>
      <c r="H12" s="614"/>
      <c r="I12" s="617"/>
      <c r="J12" s="597"/>
      <c r="K12" s="597"/>
      <c r="L12" s="324">
        <v>45777</v>
      </c>
      <c r="M12" s="597"/>
      <c r="N12" s="320">
        <v>68139.460000000006</v>
      </c>
      <c r="O12" s="324">
        <v>45793</v>
      </c>
      <c r="P12" s="321"/>
      <c r="Q12" s="320"/>
      <c r="R12" s="320"/>
      <c r="S12" s="602"/>
      <c r="T12" s="611"/>
      <c r="U12" s="605"/>
      <c r="V12" s="2">
        <v>1</v>
      </c>
    </row>
    <row r="13" spans="1:22" s="106" customFormat="1" ht="54" x14ac:dyDescent="0.3">
      <c r="A13" s="130">
        <v>2</v>
      </c>
      <c r="B13" s="131"/>
      <c r="C13" s="131" t="s">
        <v>147</v>
      </c>
      <c r="D13" s="131" t="s">
        <v>222</v>
      </c>
      <c r="E13" s="155">
        <v>45709</v>
      </c>
      <c r="F13" s="134" t="s">
        <v>223</v>
      </c>
      <c r="G13" s="132">
        <v>960353.57</v>
      </c>
      <c r="H13" s="133">
        <f>IF(V13 = 2, G13 + SUM(Q13:Q13) - SUM(R13:R13) - SUM(N13:N13) - T13,0)</f>
        <v>199881.54999999993</v>
      </c>
      <c r="I13" s="154">
        <v>7715995942</v>
      </c>
      <c r="J13" s="131" t="s">
        <v>221</v>
      </c>
      <c r="K13" s="131" t="s">
        <v>224</v>
      </c>
      <c r="L13" s="155">
        <v>45749</v>
      </c>
      <c r="M13" s="131" t="s">
        <v>225</v>
      </c>
      <c r="N13" s="132">
        <v>760472.02</v>
      </c>
      <c r="O13" s="155">
        <v>45777</v>
      </c>
      <c r="P13" s="134"/>
      <c r="Q13" s="132"/>
      <c r="R13" s="132"/>
      <c r="S13" s="134"/>
      <c r="T13" s="132"/>
      <c r="U13" s="151"/>
      <c r="V13" s="106">
        <v>2</v>
      </c>
    </row>
    <row r="14" spans="1:22" x14ac:dyDescent="0.3">
      <c r="V14" s="8">
        <v>3</v>
      </c>
    </row>
  </sheetData>
  <sheetProtection password="EB34" sheet="1" objects="1" scenarios="1" formatCells="0" formatColumns="0" formatRows="0"/>
  <mergeCells count="18"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  <mergeCell ref="A9:A12"/>
    <mergeCell ref="B9:B12"/>
    <mergeCell ref="C9:C12"/>
    <mergeCell ref="Q2:S2"/>
    <mergeCell ref="E2:F2"/>
    <mergeCell ref="L2:M2"/>
    <mergeCell ref="M9:M12"/>
    <mergeCell ref="S9:S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3"/>
  <sheetViews>
    <sheetView showGridLines="0" topLeftCell="I1" zoomScale="70" zoomScaleNormal="70" workbookViewId="0">
      <pane ySplit="8" topLeftCell="A12" activePane="bottomLeft" state="frozen"/>
      <selection pane="bottomLeft" activeCell="N12" sqref="N12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46" t="s">
        <v>139</v>
      </c>
      <c r="F2" s="547"/>
      <c r="G2" s="100">
        <f>SUM(G9:G9999)</f>
        <v>1806282</v>
      </c>
      <c r="H2" s="15"/>
      <c r="O2" s="546" t="s">
        <v>24</v>
      </c>
      <c r="P2" s="547"/>
      <c r="Q2" s="98">
        <f>SUM(Q9:Q9999)</f>
        <v>1739602.8</v>
      </c>
      <c r="T2" s="428" t="s">
        <v>137</v>
      </c>
      <c r="U2" s="430"/>
      <c r="V2" s="87">
        <f>SUM(V9:V9999)</f>
        <v>412776</v>
      </c>
      <c r="X2" s="86"/>
      <c r="Y2" s="428" t="s">
        <v>45</v>
      </c>
      <c r="Z2" s="429"/>
      <c r="AA2" s="430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35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customHeight="1" x14ac:dyDescent="0.3">
      <c r="A9" s="633">
        <v>1</v>
      </c>
      <c r="B9" s="621" t="s">
        <v>56</v>
      </c>
      <c r="C9" s="621" t="s">
        <v>195</v>
      </c>
      <c r="D9" s="621" t="s">
        <v>147</v>
      </c>
      <c r="E9" s="621" t="s">
        <v>197</v>
      </c>
      <c r="F9" s="621" t="s">
        <v>181</v>
      </c>
      <c r="G9" s="618">
        <v>740880</v>
      </c>
      <c r="H9" s="627">
        <f>IF(AD9 = 1, G9 - Q9,0)</f>
        <v>66679.199999999953</v>
      </c>
      <c r="I9" s="618">
        <v>2</v>
      </c>
      <c r="J9" s="618"/>
      <c r="K9" s="621" t="s">
        <v>162</v>
      </c>
      <c r="L9" s="621" t="s">
        <v>196</v>
      </c>
      <c r="M9" s="621" t="s">
        <v>180</v>
      </c>
      <c r="N9" s="630">
        <v>45649</v>
      </c>
      <c r="O9" s="639">
        <v>2304067057</v>
      </c>
      <c r="P9" s="642" t="s">
        <v>182</v>
      </c>
      <c r="Q9" s="618">
        <v>674200.8</v>
      </c>
      <c r="R9" s="627">
        <f>IF(AD9 = 1, Q9 + SUM(Y9:Y11) - SUM(Z9:Z11) - SUM(V9:V11) - AB9,0)</f>
        <v>261424.80000000005</v>
      </c>
      <c r="S9" s="621"/>
      <c r="T9" s="228">
        <v>45691</v>
      </c>
      <c r="U9" s="636" t="s">
        <v>164</v>
      </c>
      <c r="V9" s="221">
        <v>142178.4</v>
      </c>
      <c r="W9" s="228">
        <v>45700</v>
      </c>
      <c r="X9" s="222"/>
      <c r="Y9" s="221"/>
      <c r="Z9" s="221"/>
      <c r="AA9" s="636"/>
      <c r="AB9" s="618"/>
      <c r="AC9" s="624"/>
      <c r="AD9" s="106">
        <v>1</v>
      </c>
    </row>
    <row r="10" spans="1:33" s="2" customFormat="1" x14ac:dyDescent="0.3">
      <c r="A10" s="634"/>
      <c r="B10" s="622"/>
      <c r="C10" s="622"/>
      <c r="D10" s="622"/>
      <c r="E10" s="622"/>
      <c r="F10" s="622"/>
      <c r="G10" s="619"/>
      <c r="H10" s="628"/>
      <c r="I10" s="619"/>
      <c r="J10" s="619"/>
      <c r="K10" s="622"/>
      <c r="L10" s="622"/>
      <c r="M10" s="622"/>
      <c r="N10" s="631"/>
      <c r="O10" s="640"/>
      <c r="P10" s="643"/>
      <c r="Q10" s="619"/>
      <c r="R10" s="628"/>
      <c r="S10" s="622"/>
      <c r="T10" s="229">
        <v>45719</v>
      </c>
      <c r="U10" s="637"/>
      <c r="V10" s="223">
        <v>128419.2</v>
      </c>
      <c r="W10" s="229">
        <v>45726</v>
      </c>
      <c r="X10" s="224"/>
      <c r="Y10" s="223"/>
      <c r="Z10" s="223"/>
      <c r="AA10" s="637"/>
      <c r="AB10" s="619"/>
      <c r="AC10" s="625"/>
      <c r="AD10" s="2">
        <v>1</v>
      </c>
    </row>
    <row r="11" spans="1:33" s="2" customFormat="1" x14ac:dyDescent="0.3">
      <c r="A11" s="635"/>
      <c r="B11" s="623"/>
      <c r="C11" s="623"/>
      <c r="D11" s="623"/>
      <c r="E11" s="623"/>
      <c r="F11" s="623"/>
      <c r="G11" s="620"/>
      <c r="H11" s="629"/>
      <c r="I11" s="620"/>
      <c r="J11" s="620"/>
      <c r="K11" s="623"/>
      <c r="L11" s="623"/>
      <c r="M11" s="623"/>
      <c r="N11" s="632"/>
      <c r="O11" s="641"/>
      <c r="P11" s="644"/>
      <c r="Q11" s="620"/>
      <c r="R11" s="629"/>
      <c r="S11" s="623"/>
      <c r="T11" s="230">
        <v>45749</v>
      </c>
      <c r="U11" s="638"/>
      <c r="V11" s="225">
        <v>142178.4</v>
      </c>
      <c r="W11" s="230">
        <v>45751</v>
      </c>
      <c r="X11" s="226"/>
      <c r="Y11" s="225"/>
      <c r="Z11" s="225"/>
      <c r="AA11" s="638"/>
      <c r="AB11" s="620"/>
      <c r="AC11" s="626"/>
      <c r="AD11" s="2">
        <v>1</v>
      </c>
    </row>
    <row r="12" spans="1:33" s="106" customFormat="1" ht="180" x14ac:dyDescent="0.3">
      <c r="A12" s="288">
        <v>2</v>
      </c>
      <c r="B12" s="302" t="s">
        <v>56</v>
      </c>
      <c r="C12" s="302" t="s">
        <v>335</v>
      </c>
      <c r="D12" s="302" t="s">
        <v>147</v>
      </c>
      <c r="E12" s="302" t="s">
        <v>336</v>
      </c>
      <c r="F12" s="302" t="s">
        <v>337</v>
      </c>
      <c r="G12" s="300">
        <v>1065402</v>
      </c>
      <c r="H12" s="289">
        <f>IF(AD12 = 2, G12 - Q12,0)</f>
        <v>0</v>
      </c>
      <c r="I12" s="300">
        <v>3</v>
      </c>
      <c r="J12" s="300"/>
      <c r="K12" s="302" t="s">
        <v>162</v>
      </c>
      <c r="L12" s="302" t="s">
        <v>338</v>
      </c>
      <c r="M12" s="302" t="s">
        <v>336</v>
      </c>
      <c r="N12" s="305">
        <v>45838</v>
      </c>
      <c r="O12" s="303">
        <v>2353020735</v>
      </c>
      <c r="P12" s="304" t="s">
        <v>339</v>
      </c>
      <c r="Q12" s="300">
        <v>1065402</v>
      </c>
      <c r="R12" s="289">
        <f>IF(AD12 = 2, Q12 + SUM(Y12:Y12) - SUM(Z12:Z12) - SUM(V12:V12) - AB12,0)</f>
        <v>1065402</v>
      </c>
      <c r="S12" s="302"/>
      <c r="T12" s="305"/>
      <c r="U12" s="301" t="s">
        <v>164</v>
      </c>
      <c r="V12" s="300"/>
      <c r="W12" s="305"/>
      <c r="X12" s="302"/>
      <c r="Y12" s="300"/>
      <c r="Z12" s="300"/>
      <c r="AA12" s="301"/>
      <c r="AB12" s="300"/>
      <c r="AC12" s="302"/>
      <c r="AD12" s="106">
        <v>2</v>
      </c>
    </row>
    <row r="13" spans="1:33" x14ac:dyDescent="0.3">
      <c r="AD13" s="8">
        <v>3</v>
      </c>
    </row>
  </sheetData>
  <sheetProtection password="EB34" sheet="1" objects="1" scenarios="1" formatCells="0" formatColumns="0" formatRows="0"/>
  <mergeCells count="27">
    <mergeCell ref="A9:A11"/>
    <mergeCell ref="U9:U11"/>
    <mergeCell ref="AA9:AA11"/>
    <mergeCell ref="B9:B11"/>
    <mergeCell ref="Q9:Q11"/>
    <mergeCell ref="O9:O11"/>
    <mergeCell ref="P9:P11"/>
    <mergeCell ref="E2:F2"/>
    <mergeCell ref="O2:P2"/>
    <mergeCell ref="Y2:AA2"/>
    <mergeCell ref="T2:U2"/>
    <mergeCell ref="R9:R11"/>
    <mergeCell ref="S9:S11"/>
    <mergeCell ref="AB9:AB11"/>
    <mergeCell ref="C9:C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42"/>
  <sheetViews>
    <sheetView showGridLines="0" zoomScale="50" zoomScaleNormal="50" workbookViewId="0">
      <pane ySplit="8" topLeftCell="A24" activePane="bottomLeft" state="frozen"/>
      <selection pane="bottomLeft" activeCell="AB9" sqref="AB9:AB4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546" t="s">
        <v>139</v>
      </c>
      <c r="F2" s="547"/>
      <c r="G2" s="100">
        <f>SUM(G9:G9999)</f>
        <v>1599844.19</v>
      </c>
      <c r="H2" s="15"/>
      <c r="O2" s="546" t="s">
        <v>24</v>
      </c>
      <c r="P2" s="547"/>
      <c r="Q2" s="98">
        <f>SUM(Q9:Q9999)</f>
        <v>1599844.19</v>
      </c>
      <c r="T2" s="428" t="s">
        <v>137</v>
      </c>
      <c r="U2" s="430"/>
      <c r="V2" s="87">
        <f>SUM(V9:V9999)</f>
        <v>1412832.5899999999</v>
      </c>
      <c r="X2" s="86"/>
      <c r="Y2" s="428" t="s">
        <v>45</v>
      </c>
      <c r="Z2" s="429"/>
      <c r="AA2" s="430"/>
      <c r="AB2" s="88">
        <f>SUM(AB9:AB9999)</f>
        <v>187011.6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645">
        <v>1</v>
      </c>
      <c r="B9" s="648" t="s">
        <v>56</v>
      </c>
      <c r="C9" s="648" t="s">
        <v>192</v>
      </c>
      <c r="D9" s="648" t="s">
        <v>147</v>
      </c>
      <c r="E9" s="648" t="s">
        <v>193</v>
      </c>
      <c r="F9" s="648" t="s">
        <v>177</v>
      </c>
      <c r="G9" s="651">
        <v>1599844.19</v>
      </c>
      <c r="H9" s="654">
        <f>IF(AD9 = 1, G9 - Q9,0)</f>
        <v>0</v>
      </c>
      <c r="I9" s="651">
        <v>1</v>
      </c>
      <c r="J9" s="651"/>
      <c r="K9" s="648" t="s">
        <v>162</v>
      </c>
      <c r="L9" s="648" t="s">
        <v>194</v>
      </c>
      <c r="M9" s="648" t="s">
        <v>193</v>
      </c>
      <c r="N9" s="660">
        <v>45642</v>
      </c>
      <c r="O9" s="648" t="s">
        <v>178</v>
      </c>
      <c r="P9" s="648" t="s">
        <v>179</v>
      </c>
      <c r="Q9" s="651">
        <v>1599844.19</v>
      </c>
      <c r="R9" s="654">
        <f>IF(AD9 = 1, Q9 + SUM(Y9:Y41) - SUM(Z9:Z41) - SUM(V9:V41) - AB9,0)</f>
        <v>8.7311491370201111E-11</v>
      </c>
      <c r="S9" s="648"/>
      <c r="T9" s="313">
        <v>45681</v>
      </c>
      <c r="U9" s="648" t="s">
        <v>164</v>
      </c>
      <c r="V9" s="307">
        <v>28455</v>
      </c>
      <c r="W9" s="313">
        <v>45701</v>
      </c>
      <c r="X9" s="308"/>
      <c r="Y9" s="307"/>
      <c r="Z9" s="307"/>
      <c r="AA9" s="648" t="s">
        <v>340</v>
      </c>
      <c r="AB9" s="651">
        <v>187011.6</v>
      </c>
      <c r="AC9" s="657"/>
      <c r="AD9" s="106">
        <v>1</v>
      </c>
    </row>
    <row r="10" spans="1:33" s="2" customFormat="1" x14ac:dyDescent="0.3">
      <c r="A10" s="646"/>
      <c r="B10" s="649"/>
      <c r="C10" s="649"/>
      <c r="D10" s="649"/>
      <c r="E10" s="649"/>
      <c r="F10" s="649"/>
      <c r="G10" s="652"/>
      <c r="H10" s="655"/>
      <c r="I10" s="652"/>
      <c r="J10" s="652"/>
      <c r="K10" s="649"/>
      <c r="L10" s="649"/>
      <c r="M10" s="649"/>
      <c r="N10" s="661"/>
      <c r="O10" s="649"/>
      <c r="P10" s="649"/>
      <c r="Q10" s="652"/>
      <c r="R10" s="655"/>
      <c r="S10" s="649"/>
      <c r="T10" s="314">
        <v>45695</v>
      </c>
      <c r="U10" s="649"/>
      <c r="V10" s="309">
        <v>39340</v>
      </c>
      <c r="W10" s="314">
        <v>45701</v>
      </c>
      <c r="X10" s="310"/>
      <c r="Y10" s="309"/>
      <c r="Z10" s="309"/>
      <c r="AA10" s="649"/>
      <c r="AB10" s="652"/>
      <c r="AC10" s="658"/>
      <c r="AD10" s="2">
        <v>1</v>
      </c>
    </row>
    <row r="11" spans="1:33" s="2" customFormat="1" x14ac:dyDescent="0.3">
      <c r="A11" s="646"/>
      <c r="B11" s="649"/>
      <c r="C11" s="649"/>
      <c r="D11" s="649"/>
      <c r="E11" s="649"/>
      <c r="F11" s="649"/>
      <c r="G11" s="652"/>
      <c r="H11" s="655"/>
      <c r="I11" s="652"/>
      <c r="J11" s="652"/>
      <c r="K11" s="649"/>
      <c r="L11" s="649"/>
      <c r="M11" s="649"/>
      <c r="N11" s="661"/>
      <c r="O11" s="649"/>
      <c r="P11" s="649"/>
      <c r="Q11" s="652"/>
      <c r="R11" s="655"/>
      <c r="S11" s="649"/>
      <c r="T11" s="314">
        <v>45695</v>
      </c>
      <c r="U11" s="649"/>
      <c r="V11" s="309">
        <v>122212.22</v>
      </c>
      <c r="W11" s="314">
        <v>45712</v>
      </c>
      <c r="X11" s="310"/>
      <c r="Y11" s="309"/>
      <c r="Z11" s="309"/>
      <c r="AA11" s="649"/>
      <c r="AB11" s="652"/>
      <c r="AC11" s="658"/>
      <c r="AD11" s="2">
        <v>1</v>
      </c>
    </row>
    <row r="12" spans="1:33" s="2" customFormat="1" x14ac:dyDescent="0.3">
      <c r="A12" s="646"/>
      <c r="B12" s="649"/>
      <c r="C12" s="649"/>
      <c r="D12" s="649"/>
      <c r="E12" s="649"/>
      <c r="F12" s="649"/>
      <c r="G12" s="652"/>
      <c r="H12" s="655"/>
      <c r="I12" s="652"/>
      <c r="J12" s="652"/>
      <c r="K12" s="649"/>
      <c r="L12" s="649"/>
      <c r="M12" s="649"/>
      <c r="N12" s="661"/>
      <c r="O12" s="649"/>
      <c r="P12" s="649"/>
      <c r="Q12" s="652"/>
      <c r="R12" s="655"/>
      <c r="S12" s="649"/>
      <c r="T12" s="314">
        <v>45315</v>
      </c>
      <c r="U12" s="649"/>
      <c r="V12" s="309">
        <v>88397.27</v>
      </c>
      <c r="W12" s="314">
        <v>45712</v>
      </c>
      <c r="X12" s="310"/>
      <c r="Y12" s="309"/>
      <c r="Z12" s="309"/>
      <c r="AA12" s="649"/>
      <c r="AB12" s="652"/>
      <c r="AC12" s="658"/>
      <c r="AD12" s="2">
        <v>1</v>
      </c>
    </row>
    <row r="13" spans="1:33" s="2" customFormat="1" x14ac:dyDescent="0.3">
      <c r="A13" s="646"/>
      <c r="B13" s="649"/>
      <c r="C13" s="649"/>
      <c r="D13" s="649"/>
      <c r="E13" s="649"/>
      <c r="F13" s="649"/>
      <c r="G13" s="652"/>
      <c r="H13" s="655"/>
      <c r="I13" s="652"/>
      <c r="J13" s="652"/>
      <c r="K13" s="649"/>
      <c r="L13" s="649"/>
      <c r="M13" s="649"/>
      <c r="N13" s="661"/>
      <c r="O13" s="649"/>
      <c r="P13" s="649"/>
      <c r="Q13" s="652"/>
      <c r="R13" s="655"/>
      <c r="S13" s="649"/>
      <c r="T13" s="314">
        <v>45695</v>
      </c>
      <c r="U13" s="649"/>
      <c r="V13" s="309">
        <v>7800.86</v>
      </c>
      <c r="W13" s="314">
        <v>45712</v>
      </c>
      <c r="X13" s="310"/>
      <c r="Y13" s="309"/>
      <c r="Z13" s="309"/>
      <c r="AA13" s="649"/>
      <c r="AB13" s="652"/>
      <c r="AC13" s="658"/>
      <c r="AD13" s="2">
        <v>1</v>
      </c>
    </row>
    <row r="14" spans="1:33" s="2" customFormat="1" x14ac:dyDescent="0.3">
      <c r="A14" s="646"/>
      <c r="B14" s="649"/>
      <c r="C14" s="649"/>
      <c r="D14" s="649"/>
      <c r="E14" s="649"/>
      <c r="F14" s="649"/>
      <c r="G14" s="652"/>
      <c r="H14" s="655"/>
      <c r="I14" s="652"/>
      <c r="J14" s="652"/>
      <c r="K14" s="649"/>
      <c r="L14" s="649"/>
      <c r="M14" s="649"/>
      <c r="N14" s="661"/>
      <c r="O14" s="649"/>
      <c r="P14" s="649"/>
      <c r="Q14" s="652"/>
      <c r="R14" s="655"/>
      <c r="S14" s="649"/>
      <c r="T14" s="314">
        <v>45681</v>
      </c>
      <c r="U14" s="649"/>
      <c r="V14" s="309">
        <v>5642.44</v>
      </c>
      <c r="W14" s="314">
        <v>45712</v>
      </c>
      <c r="X14" s="310"/>
      <c r="Y14" s="309"/>
      <c r="Z14" s="309"/>
      <c r="AA14" s="649"/>
      <c r="AB14" s="652"/>
      <c r="AC14" s="658"/>
      <c r="AD14" s="2">
        <v>1</v>
      </c>
    </row>
    <row r="15" spans="1:33" s="2" customFormat="1" x14ac:dyDescent="0.3">
      <c r="A15" s="646"/>
      <c r="B15" s="649"/>
      <c r="C15" s="649"/>
      <c r="D15" s="649"/>
      <c r="E15" s="649"/>
      <c r="F15" s="649"/>
      <c r="G15" s="652"/>
      <c r="H15" s="655"/>
      <c r="I15" s="652"/>
      <c r="J15" s="652"/>
      <c r="K15" s="649"/>
      <c r="L15" s="649"/>
      <c r="M15" s="649"/>
      <c r="N15" s="661"/>
      <c r="O15" s="649"/>
      <c r="P15" s="649"/>
      <c r="Q15" s="652"/>
      <c r="R15" s="655"/>
      <c r="S15" s="649"/>
      <c r="T15" s="314">
        <v>45708</v>
      </c>
      <c r="U15" s="649"/>
      <c r="V15" s="309">
        <v>6044.97</v>
      </c>
      <c r="W15" s="314">
        <v>45719</v>
      </c>
      <c r="X15" s="310"/>
      <c r="Y15" s="309"/>
      <c r="Z15" s="309"/>
      <c r="AA15" s="649"/>
      <c r="AB15" s="652"/>
      <c r="AC15" s="658"/>
      <c r="AD15" s="2">
        <v>1</v>
      </c>
    </row>
    <row r="16" spans="1:33" s="2" customFormat="1" x14ac:dyDescent="0.3">
      <c r="A16" s="646"/>
      <c r="B16" s="649"/>
      <c r="C16" s="649"/>
      <c r="D16" s="649"/>
      <c r="E16" s="649"/>
      <c r="F16" s="649"/>
      <c r="G16" s="652"/>
      <c r="H16" s="655"/>
      <c r="I16" s="652"/>
      <c r="J16" s="652"/>
      <c r="K16" s="649"/>
      <c r="L16" s="649"/>
      <c r="M16" s="649"/>
      <c r="N16" s="661"/>
      <c r="O16" s="649"/>
      <c r="P16" s="649"/>
      <c r="Q16" s="652"/>
      <c r="R16" s="655"/>
      <c r="S16" s="649"/>
      <c r="T16" s="314">
        <v>45708</v>
      </c>
      <c r="U16" s="649"/>
      <c r="V16" s="309">
        <v>30485</v>
      </c>
      <c r="W16" s="314">
        <v>45719</v>
      </c>
      <c r="X16" s="310"/>
      <c r="Y16" s="309"/>
      <c r="Z16" s="309"/>
      <c r="AA16" s="649"/>
      <c r="AB16" s="652"/>
      <c r="AC16" s="658"/>
      <c r="AD16" s="2">
        <v>1</v>
      </c>
    </row>
    <row r="17" spans="1:30" s="2" customFormat="1" x14ac:dyDescent="0.3">
      <c r="A17" s="646"/>
      <c r="B17" s="649"/>
      <c r="C17" s="649"/>
      <c r="D17" s="649"/>
      <c r="E17" s="649"/>
      <c r="F17" s="649"/>
      <c r="G17" s="652"/>
      <c r="H17" s="655"/>
      <c r="I17" s="652"/>
      <c r="J17" s="652"/>
      <c r="K17" s="649"/>
      <c r="L17" s="649"/>
      <c r="M17" s="649"/>
      <c r="N17" s="661"/>
      <c r="O17" s="649"/>
      <c r="P17" s="649"/>
      <c r="Q17" s="652"/>
      <c r="R17" s="655"/>
      <c r="S17" s="649"/>
      <c r="T17" s="314">
        <v>45708</v>
      </c>
      <c r="U17" s="649"/>
      <c r="V17" s="309">
        <v>94703.6</v>
      </c>
      <c r="W17" s="314">
        <v>45719</v>
      </c>
      <c r="X17" s="310"/>
      <c r="Y17" s="309"/>
      <c r="Z17" s="309"/>
      <c r="AA17" s="649"/>
      <c r="AB17" s="652"/>
      <c r="AC17" s="658"/>
      <c r="AD17" s="2">
        <v>1</v>
      </c>
    </row>
    <row r="18" spans="1:30" s="2" customFormat="1" x14ac:dyDescent="0.3">
      <c r="A18" s="646"/>
      <c r="B18" s="649"/>
      <c r="C18" s="649"/>
      <c r="D18" s="649"/>
      <c r="E18" s="649"/>
      <c r="F18" s="649"/>
      <c r="G18" s="652"/>
      <c r="H18" s="655"/>
      <c r="I18" s="652"/>
      <c r="J18" s="652"/>
      <c r="K18" s="649"/>
      <c r="L18" s="649"/>
      <c r="M18" s="649"/>
      <c r="N18" s="661"/>
      <c r="O18" s="649"/>
      <c r="P18" s="649"/>
      <c r="Q18" s="652"/>
      <c r="R18" s="655"/>
      <c r="S18" s="649"/>
      <c r="T18" s="314">
        <v>45722</v>
      </c>
      <c r="U18" s="649"/>
      <c r="V18" s="309">
        <v>102749.6</v>
      </c>
      <c r="W18" s="314">
        <v>45734</v>
      </c>
      <c r="X18" s="310"/>
      <c r="Y18" s="309"/>
      <c r="Z18" s="309"/>
      <c r="AA18" s="649"/>
      <c r="AB18" s="652"/>
      <c r="AC18" s="658"/>
      <c r="AD18" s="2">
        <v>1</v>
      </c>
    </row>
    <row r="19" spans="1:30" s="2" customFormat="1" x14ac:dyDescent="0.3">
      <c r="A19" s="646"/>
      <c r="B19" s="649"/>
      <c r="C19" s="649"/>
      <c r="D19" s="649"/>
      <c r="E19" s="649"/>
      <c r="F19" s="649"/>
      <c r="G19" s="652"/>
      <c r="H19" s="655"/>
      <c r="I19" s="652"/>
      <c r="J19" s="652"/>
      <c r="K19" s="649"/>
      <c r="L19" s="649"/>
      <c r="M19" s="649"/>
      <c r="N19" s="661"/>
      <c r="O19" s="649"/>
      <c r="P19" s="649"/>
      <c r="Q19" s="652"/>
      <c r="R19" s="655"/>
      <c r="S19" s="649"/>
      <c r="T19" s="314">
        <v>45722</v>
      </c>
      <c r="U19" s="649"/>
      <c r="V19" s="309">
        <v>33075</v>
      </c>
      <c r="W19" s="314">
        <v>45734</v>
      </c>
      <c r="X19" s="310"/>
      <c r="Y19" s="309"/>
      <c r="Z19" s="309"/>
      <c r="AA19" s="649"/>
      <c r="AB19" s="652"/>
      <c r="AC19" s="658"/>
      <c r="AD19" s="2">
        <v>1</v>
      </c>
    </row>
    <row r="20" spans="1:30" s="2" customFormat="1" x14ac:dyDescent="0.3">
      <c r="A20" s="646"/>
      <c r="B20" s="649"/>
      <c r="C20" s="649"/>
      <c r="D20" s="649"/>
      <c r="E20" s="649"/>
      <c r="F20" s="649"/>
      <c r="G20" s="652"/>
      <c r="H20" s="655"/>
      <c r="I20" s="652"/>
      <c r="J20" s="652"/>
      <c r="K20" s="649"/>
      <c r="L20" s="649"/>
      <c r="M20" s="649"/>
      <c r="N20" s="661"/>
      <c r="O20" s="649"/>
      <c r="P20" s="649"/>
      <c r="Q20" s="652"/>
      <c r="R20" s="655"/>
      <c r="S20" s="649"/>
      <c r="T20" s="314">
        <v>45722</v>
      </c>
      <c r="U20" s="649"/>
      <c r="V20" s="309">
        <v>6558.55</v>
      </c>
      <c r="W20" s="314">
        <v>45734</v>
      </c>
      <c r="X20" s="310"/>
      <c r="Y20" s="309"/>
      <c r="Z20" s="309"/>
      <c r="AA20" s="649"/>
      <c r="AB20" s="652"/>
      <c r="AC20" s="658"/>
      <c r="AD20" s="2">
        <v>1</v>
      </c>
    </row>
    <row r="21" spans="1:30" s="2" customFormat="1" x14ac:dyDescent="0.3">
      <c r="A21" s="646"/>
      <c r="B21" s="649"/>
      <c r="C21" s="649"/>
      <c r="D21" s="649"/>
      <c r="E21" s="649"/>
      <c r="F21" s="649"/>
      <c r="G21" s="652"/>
      <c r="H21" s="655"/>
      <c r="I21" s="652"/>
      <c r="J21" s="652"/>
      <c r="K21" s="649"/>
      <c r="L21" s="649"/>
      <c r="M21" s="649"/>
      <c r="N21" s="661"/>
      <c r="O21" s="649"/>
      <c r="P21" s="649"/>
      <c r="Q21" s="652"/>
      <c r="R21" s="655"/>
      <c r="S21" s="649"/>
      <c r="T21" s="314">
        <v>45737</v>
      </c>
      <c r="U21" s="649"/>
      <c r="V21" s="309">
        <v>117210.65</v>
      </c>
      <c r="W21" s="314">
        <v>45741</v>
      </c>
      <c r="X21" s="310"/>
      <c r="Y21" s="309"/>
      <c r="Z21" s="309"/>
      <c r="AA21" s="649"/>
      <c r="AB21" s="652"/>
      <c r="AC21" s="658"/>
      <c r="AD21" s="2">
        <v>1</v>
      </c>
    </row>
    <row r="22" spans="1:30" s="2" customFormat="1" x14ac:dyDescent="0.3">
      <c r="A22" s="646"/>
      <c r="B22" s="649"/>
      <c r="C22" s="649"/>
      <c r="D22" s="649"/>
      <c r="E22" s="649"/>
      <c r="F22" s="649"/>
      <c r="G22" s="652"/>
      <c r="H22" s="655"/>
      <c r="I22" s="652"/>
      <c r="J22" s="652"/>
      <c r="K22" s="649"/>
      <c r="L22" s="649"/>
      <c r="M22" s="649"/>
      <c r="N22" s="661"/>
      <c r="O22" s="649"/>
      <c r="P22" s="649"/>
      <c r="Q22" s="652"/>
      <c r="R22" s="655"/>
      <c r="S22" s="649"/>
      <c r="T22" s="314">
        <v>45737</v>
      </c>
      <c r="U22" s="649"/>
      <c r="V22" s="309">
        <v>7481.61</v>
      </c>
      <c r="W22" s="314">
        <v>45741</v>
      </c>
      <c r="X22" s="310"/>
      <c r="Y22" s="309"/>
      <c r="Z22" s="309"/>
      <c r="AA22" s="649"/>
      <c r="AB22" s="652"/>
      <c r="AC22" s="658"/>
      <c r="AD22" s="2">
        <v>1</v>
      </c>
    </row>
    <row r="23" spans="1:30" s="2" customFormat="1" x14ac:dyDescent="0.3">
      <c r="A23" s="646"/>
      <c r="B23" s="649"/>
      <c r="C23" s="649"/>
      <c r="D23" s="649"/>
      <c r="E23" s="649"/>
      <c r="F23" s="649"/>
      <c r="G23" s="652"/>
      <c r="H23" s="655"/>
      <c r="I23" s="652"/>
      <c r="J23" s="652"/>
      <c r="K23" s="649"/>
      <c r="L23" s="649"/>
      <c r="M23" s="649"/>
      <c r="N23" s="661"/>
      <c r="O23" s="649"/>
      <c r="P23" s="649"/>
      <c r="Q23" s="652"/>
      <c r="R23" s="655"/>
      <c r="S23" s="649"/>
      <c r="T23" s="314">
        <v>45737</v>
      </c>
      <c r="U23" s="649"/>
      <c r="V23" s="309">
        <v>37730</v>
      </c>
      <c r="W23" s="314">
        <v>45741</v>
      </c>
      <c r="X23" s="310"/>
      <c r="Y23" s="309"/>
      <c r="Z23" s="309"/>
      <c r="AA23" s="649"/>
      <c r="AB23" s="652"/>
      <c r="AC23" s="658"/>
      <c r="AD23" s="2">
        <v>1</v>
      </c>
    </row>
    <row r="24" spans="1:30" s="2" customFormat="1" x14ac:dyDescent="0.3">
      <c r="A24" s="646"/>
      <c r="B24" s="649"/>
      <c r="C24" s="649"/>
      <c r="D24" s="649"/>
      <c r="E24" s="649"/>
      <c r="F24" s="649"/>
      <c r="G24" s="652"/>
      <c r="H24" s="655"/>
      <c r="I24" s="652"/>
      <c r="J24" s="652"/>
      <c r="K24" s="649"/>
      <c r="L24" s="649"/>
      <c r="M24" s="649"/>
      <c r="N24" s="661"/>
      <c r="O24" s="649"/>
      <c r="P24" s="649"/>
      <c r="Q24" s="652"/>
      <c r="R24" s="655"/>
      <c r="S24" s="649"/>
      <c r="T24" s="314">
        <v>45744</v>
      </c>
      <c r="U24" s="649"/>
      <c r="V24" s="309">
        <v>3886.55</v>
      </c>
      <c r="W24" s="314">
        <v>45751</v>
      </c>
      <c r="X24" s="310"/>
      <c r="Y24" s="309"/>
      <c r="Z24" s="309"/>
      <c r="AA24" s="649"/>
      <c r="AB24" s="652"/>
      <c r="AC24" s="658"/>
      <c r="AD24" s="2">
        <v>1</v>
      </c>
    </row>
    <row r="25" spans="1:30" s="2" customFormat="1" x14ac:dyDescent="0.3">
      <c r="A25" s="646"/>
      <c r="B25" s="649"/>
      <c r="C25" s="649"/>
      <c r="D25" s="649"/>
      <c r="E25" s="649"/>
      <c r="F25" s="649"/>
      <c r="G25" s="652"/>
      <c r="H25" s="655"/>
      <c r="I25" s="652"/>
      <c r="J25" s="652"/>
      <c r="K25" s="649"/>
      <c r="L25" s="649"/>
      <c r="M25" s="649"/>
      <c r="N25" s="661"/>
      <c r="O25" s="649"/>
      <c r="P25" s="649"/>
      <c r="Q25" s="652"/>
      <c r="R25" s="655"/>
      <c r="S25" s="649"/>
      <c r="T25" s="314">
        <v>45744</v>
      </c>
      <c r="U25" s="649"/>
      <c r="V25" s="309">
        <v>19600</v>
      </c>
      <c r="W25" s="314">
        <v>45751</v>
      </c>
      <c r="X25" s="310"/>
      <c r="Y25" s="309"/>
      <c r="Z25" s="309"/>
      <c r="AA25" s="649"/>
      <c r="AB25" s="652"/>
      <c r="AC25" s="658"/>
      <c r="AD25" s="2">
        <v>1</v>
      </c>
    </row>
    <row r="26" spans="1:30" s="2" customFormat="1" x14ac:dyDescent="0.3">
      <c r="A26" s="646"/>
      <c r="B26" s="649"/>
      <c r="C26" s="649"/>
      <c r="D26" s="649"/>
      <c r="E26" s="649"/>
      <c r="F26" s="649"/>
      <c r="G26" s="652"/>
      <c r="H26" s="655"/>
      <c r="I26" s="652"/>
      <c r="J26" s="652"/>
      <c r="K26" s="649"/>
      <c r="L26" s="649"/>
      <c r="M26" s="649"/>
      <c r="N26" s="661"/>
      <c r="O26" s="649"/>
      <c r="P26" s="649"/>
      <c r="Q26" s="652"/>
      <c r="R26" s="655"/>
      <c r="S26" s="649"/>
      <c r="T26" s="314">
        <v>45744</v>
      </c>
      <c r="U26" s="649"/>
      <c r="V26" s="309">
        <v>60888.65</v>
      </c>
      <c r="W26" s="314">
        <v>45751</v>
      </c>
      <c r="X26" s="310"/>
      <c r="Y26" s="309"/>
      <c r="Z26" s="309"/>
      <c r="AA26" s="649"/>
      <c r="AB26" s="652"/>
      <c r="AC26" s="658"/>
      <c r="AD26" s="2">
        <v>1</v>
      </c>
    </row>
    <row r="27" spans="1:30" s="2" customFormat="1" x14ac:dyDescent="0.3">
      <c r="A27" s="646"/>
      <c r="B27" s="649"/>
      <c r="C27" s="649"/>
      <c r="D27" s="649"/>
      <c r="E27" s="649"/>
      <c r="F27" s="649"/>
      <c r="G27" s="652"/>
      <c r="H27" s="655"/>
      <c r="I27" s="652"/>
      <c r="J27" s="652"/>
      <c r="K27" s="649"/>
      <c r="L27" s="649"/>
      <c r="M27" s="649"/>
      <c r="N27" s="661"/>
      <c r="O27" s="649"/>
      <c r="P27" s="649"/>
      <c r="Q27" s="652"/>
      <c r="R27" s="655"/>
      <c r="S27" s="649"/>
      <c r="T27" s="314">
        <v>45757</v>
      </c>
      <c r="U27" s="649"/>
      <c r="V27" s="309">
        <v>4004.53</v>
      </c>
      <c r="W27" s="314">
        <v>45761</v>
      </c>
      <c r="X27" s="310"/>
      <c r="Y27" s="309"/>
      <c r="Z27" s="309"/>
      <c r="AA27" s="649"/>
      <c r="AB27" s="652"/>
      <c r="AC27" s="658"/>
      <c r="AD27" s="2">
        <v>1</v>
      </c>
    </row>
    <row r="28" spans="1:30" s="2" customFormat="1" x14ac:dyDescent="0.3">
      <c r="A28" s="646"/>
      <c r="B28" s="649"/>
      <c r="C28" s="649"/>
      <c r="D28" s="649"/>
      <c r="E28" s="649"/>
      <c r="F28" s="649"/>
      <c r="G28" s="652"/>
      <c r="H28" s="655"/>
      <c r="I28" s="652"/>
      <c r="J28" s="652"/>
      <c r="K28" s="649"/>
      <c r="L28" s="649"/>
      <c r="M28" s="649"/>
      <c r="N28" s="661"/>
      <c r="O28" s="649"/>
      <c r="P28" s="649"/>
      <c r="Q28" s="652"/>
      <c r="R28" s="655"/>
      <c r="S28" s="649"/>
      <c r="T28" s="314">
        <v>45757</v>
      </c>
      <c r="U28" s="649"/>
      <c r="V28" s="309">
        <v>20195</v>
      </c>
      <c r="W28" s="314">
        <v>45761</v>
      </c>
      <c r="X28" s="310"/>
      <c r="Y28" s="309"/>
      <c r="Z28" s="309"/>
      <c r="AA28" s="649"/>
      <c r="AB28" s="652"/>
      <c r="AC28" s="658"/>
      <c r="AD28" s="2">
        <v>1</v>
      </c>
    </row>
    <row r="29" spans="1:30" s="2" customFormat="1" x14ac:dyDescent="0.3">
      <c r="A29" s="646"/>
      <c r="B29" s="649"/>
      <c r="C29" s="649"/>
      <c r="D29" s="649"/>
      <c r="E29" s="649"/>
      <c r="F29" s="649"/>
      <c r="G29" s="652"/>
      <c r="H29" s="655"/>
      <c r="I29" s="652"/>
      <c r="J29" s="652"/>
      <c r="K29" s="649"/>
      <c r="L29" s="649"/>
      <c r="M29" s="649"/>
      <c r="N29" s="661"/>
      <c r="O29" s="649"/>
      <c r="P29" s="649"/>
      <c r="Q29" s="652"/>
      <c r="R29" s="655"/>
      <c r="S29" s="649"/>
      <c r="T29" s="314">
        <v>45757</v>
      </c>
      <c r="U29" s="649"/>
      <c r="V29" s="309">
        <v>62737.06</v>
      </c>
      <c r="W29" s="314">
        <v>45761</v>
      </c>
      <c r="X29" s="310"/>
      <c r="Y29" s="309"/>
      <c r="Z29" s="309"/>
      <c r="AA29" s="649"/>
      <c r="AB29" s="652"/>
      <c r="AC29" s="658"/>
      <c r="AD29" s="2">
        <v>1</v>
      </c>
    </row>
    <row r="30" spans="1:30" s="2" customFormat="1" x14ac:dyDescent="0.3">
      <c r="A30" s="646"/>
      <c r="B30" s="649"/>
      <c r="C30" s="649"/>
      <c r="D30" s="649"/>
      <c r="E30" s="649"/>
      <c r="F30" s="649"/>
      <c r="G30" s="652"/>
      <c r="H30" s="655"/>
      <c r="I30" s="652"/>
      <c r="J30" s="652"/>
      <c r="K30" s="649"/>
      <c r="L30" s="649"/>
      <c r="M30" s="649"/>
      <c r="N30" s="661"/>
      <c r="O30" s="649"/>
      <c r="P30" s="649"/>
      <c r="Q30" s="652"/>
      <c r="R30" s="655"/>
      <c r="S30" s="649"/>
      <c r="T30" s="314">
        <v>45772</v>
      </c>
      <c r="U30" s="649"/>
      <c r="V30" s="309">
        <v>8106.23</v>
      </c>
      <c r="W30" s="314">
        <v>45782</v>
      </c>
      <c r="X30" s="310"/>
      <c r="Y30" s="309"/>
      <c r="Z30" s="309"/>
      <c r="AA30" s="649"/>
      <c r="AB30" s="652"/>
      <c r="AC30" s="658"/>
      <c r="AD30" s="2">
        <v>1</v>
      </c>
    </row>
    <row r="31" spans="1:30" s="2" customFormat="1" x14ac:dyDescent="0.3">
      <c r="A31" s="646"/>
      <c r="B31" s="649"/>
      <c r="C31" s="649"/>
      <c r="D31" s="649"/>
      <c r="E31" s="649"/>
      <c r="F31" s="649"/>
      <c r="G31" s="652"/>
      <c r="H31" s="655"/>
      <c r="I31" s="652"/>
      <c r="J31" s="652"/>
      <c r="K31" s="649"/>
      <c r="L31" s="649"/>
      <c r="M31" s="649"/>
      <c r="N31" s="661"/>
      <c r="O31" s="649"/>
      <c r="P31" s="649"/>
      <c r="Q31" s="652"/>
      <c r="R31" s="655"/>
      <c r="S31" s="649"/>
      <c r="T31" s="314">
        <v>45772</v>
      </c>
      <c r="U31" s="649"/>
      <c r="V31" s="309">
        <v>126996.33</v>
      </c>
      <c r="W31" s="314">
        <v>45782</v>
      </c>
      <c r="X31" s="310"/>
      <c r="Y31" s="309"/>
      <c r="Z31" s="309"/>
      <c r="AA31" s="649"/>
      <c r="AB31" s="652"/>
      <c r="AC31" s="658"/>
      <c r="AD31" s="2">
        <v>1</v>
      </c>
    </row>
    <row r="32" spans="1:30" s="2" customFormat="1" x14ac:dyDescent="0.3">
      <c r="A32" s="646"/>
      <c r="B32" s="649"/>
      <c r="C32" s="649"/>
      <c r="D32" s="649"/>
      <c r="E32" s="649"/>
      <c r="F32" s="649"/>
      <c r="G32" s="652"/>
      <c r="H32" s="655"/>
      <c r="I32" s="652"/>
      <c r="J32" s="652"/>
      <c r="K32" s="649"/>
      <c r="L32" s="649"/>
      <c r="M32" s="649"/>
      <c r="N32" s="661"/>
      <c r="O32" s="649"/>
      <c r="P32" s="649"/>
      <c r="Q32" s="652"/>
      <c r="R32" s="655"/>
      <c r="S32" s="649"/>
      <c r="T32" s="314">
        <v>45772</v>
      </c>
      <c r="U32" s="649"/>
      <c r="V32" s="309">
        <v>40880</v>
      </c>
      <c r="W32" s="314">
        <v>45782</v>
      </c>
      <c r="X32" s="310"/>
      <c r="Y32" s="309"/>
      <c r="Z32" s="309"/>
      <c r="AA32" s="649"/>
      <c r="AB32" s="652"/>
      <c r="AC32" s="658"/>
      <c r="AD32" s="2">
        <v>1</v>
      </c>
    </row>
    <row r="33" spans="1:30" s="2" customFormat="1" x14ac:dyDescent="0.3">
      <c r="A33" s="646"/>
      <c r="B33" s="649"/>
      <c r="C33" s="649"/>
      <c r="D33" s="649"/>
      <c r="E33" s="649"/>
      <c r="F33" s="649"/>
      <c r="G33" s="652"/>
      <c r="H33" s="655"/>
      <c r="I33" s="652"/>
      <c r="J33" s="652"/>
      <c r="K33" s="649"/>
      <c r="L33" s="649"/>
      <c r="M33" s="649"/>
      <c r="N33" s="661"/>
      <c r="O33" s="649"/>
      <c r="P33" s="649"/>
      <c r="Q33" s="652"/>
      <c r="R33" s="655"/>
      <c r="S33" s="649"/>
      <c r="T33" s="314">
        <v>45789</v>
      </c>
      <c r="U33" s="649"/>
      <c r="V33" s="309">
        <v>77089.38</v>
      </c>
      <c r="W33" s="314">
        <v>45793</v>
      </c>
      <c r="X33" s="310"/>
      <c r="Y33" s="309"/>
      <c r="Z33" s="309"/>
      <c r="AA33" s="649"/>
      <c r="AB33" s="652"/>
      <c r="AC33" s="658"/>
      <c r="AD33" s="2">
        <v>1</v>
      </c>
    </row>
    <row r="34" spans="1:30" s="2" customFormat="1" x14ac:dyDescent="0.3">
      <c r="A34" s="646"/>
      <c r="B34" s="649"/>
      <c r="C34" s="649"/>
      <c r="D34" s="649"/>
      <c r="E34" s="649"/>
      <c r="F34" s="649"/>
      <c r="G34" s="652"/>
      <c r="H34" s="655"/>
      <c r="I34" s="652"/>
      <c r="J34" s="652"/>
      <c r="K34" s="649"/>
      <c r="L34" s="649"/>
      <c r="M34" s="649"/>
      <c r="N34" s="661"/>
      <c r="O34" s="649"/>
      <c r="P34" s="649"/>
      <c r="Q34" s="652"/>
      <c r="R34" s="655"/>
      <c r="S34" s="649"/>
      <c r="T34" s="314">
        <v>45789</v>
      </c>
      <c r="U34" s="649"/>
      <c r="V34" s="309">
        <v>4920.6499999999996</v>
      </c>
      <c r="W34" s="314">
        <v>45793</v>
      </c>
      <c r="X34" s="310"/>
      <c r="Y34" s="309"/>
      <c r="Z34" s="309"/>
      <c r="AA34" s="649"/>
      <c r="AB34" s="652"/>
      <c r="AC34" s="658"/>
      <c r="AD34" s="2">
        <v>1</v>
      </c>
    </row>
    <row r="35" spans="1:30" s="2" customFormat="1" x14ac:dyDescent="0.3">
      <c r="A35" s="646"/>
      <c r="B35" s="649"/>
      <c r="C35" s="649"/>
      <c r="D35" s="649"/>
      <c r="E35" s="649"/>
      <c r="F35" s="649"/>
      <c r="G35" s="652"/>
      <c r="H35" s="655"/>
      <c r="I35" s="652"/>
      <c r="J35" s="652"/>
      <c r="K35" s="649"/>
      <c r="L35" s="649"/>
      <c r="M35" s="649"/>
      <c r="N35" s="661"/>
      <c r="O35" s="649"/>
      <c r="P35" s="649"/>
      <c r="Q35" s="652"/>
      <c r="R35" s="655"/>
      <c r="S35" s="649"/>
      <c r="T35" s="314">
        <v>45789</v>
      </c>
      <c r="U35" s="649"/>
      <c r="V35" s="309">
        <v>24815</v>
      </c>
      <c r="W35" s="314">
        <v>45793</v>
      </c>
      <c r="X35" s="310"/>
      <c r="Y35" s="309"/>
      <c r="Z35" s="309"/>
      <c r="AA35" s="649"/>
      <c r="AB35" s="652"/>
      <c r="AC35" s="658"/>
      <c r="AD35" s="2">
        <v>1</v>
      </c>
    </row>
    <row r="36" spans="1:30" s="2" customFormat="1" x14ac:dyDescent="0.3">
      <c r="A36" s="646"/>
      <c r="B36" s="649"/>
      <c r="C36" s="649"/>
      <c r="D36" s="649"/>
      <c r="E36" s="649"/>
      <c r="F36" s="649"/>
      <c r="G36" s="652"/>
      <c r="H36" s="655"/>
      <c r="I36" s="652"/>
      <c r="J36" s="652"/>
      <c r="K36" s="649"/>
      <c r="L36" s="649"/>
      <c r="M36" s="649"/>
      <c r="N36" s="661"/>
      <c r="O36" s="649"/>
      <c r="P36" s="649"/>
      <c r="Q36" s="652"/>
      <c r="R36" s="655"/>
      <c r="S36" s="649"/>
      <c r="T36" s="314">
        <v>45799</v>
      </c>
      <c r="U36" s="649"/>
      <c r="V36" s="309">
        <v>6426.69</v>
      </c>
      <c r="W36" s="314">
        <v>45807</v>
      </c>
      <c r="X36" s="310"/>
      <c r="Y36" s="309"/>
      <c r="Z36" s="309"/>
      <c r="AA36" s="649"/>
      <c r="AB36" s="652"/>
      <c r="AC36" s="658"/>
      <c r="AD36" s="2">
        <v>1</v>
      </c>
    </row>
    <row r="37" spans="1:30" s="2" customFormat="1" x14ac:dyDescent="0.3">
      <c r="A37" s="646"/>
      <c r="B37" s="649"/>
      <c r="C37" s="649"/>
      <c r="D37" s="649"/>
      <c r="E37" s="649"/>
      <c r="F37" s="649"/>
      <c r="G37" s="652"/>
      <c r="H37" s="655"/>
      <c r="I37" s="652"/>
      <c r="J37" s="652"/>
      <c r="K37" s="649"/>
      <c r="L37" s="649"/>
      <c r="M37" s="649"/>
      <c r="N37" s="661"/>
      <c r="O37" s="649"/>
      <c r="P37" s="649"/>
      <c r="Q37" s="652"/>
      <c r="R37" s="655"/>
      <c r="S37" s="649"/>
      <c r="T37" s="314">
        <v>45799</v>
      </c>
      <c r="U37" s="649"/>
      <c r="V37" s="309">
        <v>32410</v>
      </c>
      <c r="W37" s="314">
        <v>45807</v>
      </c>
      <c r="X37" s="310"/>
      <c r="Y37" s="309"/>
      <c r="Z37" s="309"/>
      <c r="AA37" s="649"/>
      <c r="AB37" s="652"/>
      <c r="AC37" s="658"/>
      <c r="AD37" s="2">
        <v>1</v>
      </c>
    </row>
    <row r="38" spans="1:30" s="2" customFormat="1" x14ac:dyDescent="0.3">
      <c r="A38" s="646"/>
      <c r="B38" s="649"/>
      <c r="C38" s="649"/>
      <c r="D38" s="649"/>
      <c r="E38" s="649"/>
      <c r="F38" s="649"/>
      <c r="G38" s="652"/>
      <c r="H38" s="655"/>
      <c r="I38" s="652"/>
      <c r="J38" s="652"/>
      <c r="K38" s="649"/>
      <c r="L38" s="649"/>
      <c r="M38" s="649"/>
      <c r="N38" s="661"/>
      <c r="O38" s="649"/>
      <c r="P38" s="649"/>
      <c r="Q38" s="652"/>
      <c r="R38" s="655"/>
      <c r="S38" s="649"/>
      <c r="T38" s="314">
        <v>45799</v>
      </c>
      <c r="U38" s="649"/>
      <c r="V38" s="309">
        <v>100683.73</v>
      </c>
      <c r="W38" s="314">
        <v>45807</v>
      </c>
      <c r="X38" s="310"/>
      <c r="Y38" s="309"/>
      <c r="Z38" s="309"/>
      <c r="AA38" s="649"/>
      <c r="AB38" s="652"/>
      <c r="AC38" s="658"/>
      <c r="AD38" s="2">
        <v>1</v>
      </c>
    </row>
    <row r="39" spans="1:30" s="2" customFormat="1" x14ac:dyDescent="0.3">
      <c r="A39" s="646"/>
      <c r="B39" s="649"/>
      <c r="C39" s="649"/>
      <c r="D39" s="649"/>
      <c r="E39" s="649"/>
      <c r="F39" s="649"/>
      <c r="G39" s="652"/>
      <c r="H39" s="655"/>
      <c r="I39" s="652"/>
      <c r="J39" s="652"/>
      <c r="K39" s="649"/>
      <c r="L39" s="649"/>
      <c r="M39" s="649"/>
      <c r="N39" s="661"/>
      <c r="O39" s="649"/>
      <c r="P39" s="649"/>
      <c r="Q39" s="652"/>
      <c r="R39" s="655"/>
      <c r="S39" s="649"/>
      <c r="T39" s="314">
        <v>45805</v>
      </c>
      <c r="U39" s="649"/>
      <c r="V39" s="309">
        <v>21210</v>
      </c>
      <c r="W39" s="314">
        <v>45812</v>
      </c>
      <c r="X39" s="310"/>
      <c r="Y39" s="309"/>
      <c r="Z39" s="309"/>
      <c r="AA39" s="649"/>
      <c r="AB39" s="652"/>
      <c r="AC39" s="658"/>
      <c r="AD39" s="2">
        <v>1</v>
      </c>
    </row>
    <row r="40" spans="1:30" s="2" customFormat="1" x14ac:dyDescent="0.3">
      <c r="A40" s="646"/>
      <c r="B40" s="649"/>
      <c r="C40" s="649"/>
      <c r="D40" s="649"/>
      <c r="E40" s="649"/>
      <c r="F40" s="649"/>
      <c r="G40" s="652"/>
      <c r="H40" s="655"/>
      <c r="I40" s="652"/>
      <c r="J40" s="652"/>
      <c r="K40" s="649"/>
      <c r="L40" s="649"/>
      <c r="M40" s="649"/>
      <c r="N40" s="661"/>
      <c r="O40" s="649"/>
      <c r="P40" s="649"/>
      <c r="Q40" s="652"/>
      <c r="R40" s="655"/>
      <c r="S40" s="649"/>
      <c r="T40" s="314">
        <v>45805</v>
      </c>
      <c r="U40" s="649"/>
      <c r="V40" s="309">
        <v>4205.8</v>
      </c>
      <c r="W40" s="314">
        <v>45812</v>
      </c>
      <c r="X40" s="310"/>
      <c r="Y40" s="309"/>
      <c r="Z40" s="309"/>
      <c r="AA40" s="649"/>
      <c r="AB40" s="652"/>
      <c r="AC40" s="658"/>
      <c r="AD40" s="2">
        <v>1</v>
      </c>
    </row>
    <row r="41" spans="1:30" s="2" customFormat="1" x14ac:dyDescent="0.3">
      <c r="A41" s="647"/>
      <c r="B41" s="650"/>
      <c r="C41" s="650"/>
      <c r="D41" s="650"/>
      <c r="E41" s="650"/>
      <c r="F41" s="650"/>
      <c r="G41" s="653"/>
      <c r="H41" s="656"/>
      <c r="I41" s="653"/>
      <c r="J41" s="653"/>
      <c r="K41" s="650"/>
      <c r="L41" s="650"/>
      <c r="M41" s="650"/>
      <c r="N41" s="662"/>
      <c r="O41" s="650"/>
      <c r="P41" s="650"/>
      <c r="Q41" s="653"/>
      <c r="R41" s="656"/>
      <c r="S41" s="650"/>
      <c r="T41" s="315">
        <v>45805</v>
      </c>
      <c r="U41" s="650"/>
      <c r="V41" s="311">
        <v>65890.22</v>
      </c>
      <c r="W41" s="315">
        <v>45812</v>
      </c>
      <c r="X41" s="312"/>
      <c r="Y41" s="311"/>
      <c r="Z41" s="311"/>
      <c r="AA41" s="650"/>
      <c r="AB41" s="653"/>
      <c r="AC41" s="659"/>
      <c r="AD41" s="2">
        <v>1</v>
      </c>
    </row>
    <row r="42" spans="1:30" x14ac:dyDescent="0.3">
      <c r="A42" s="14"/>
      <c r="B42" s="14"/>
      <c r="C42" s="14"/>
      <c r="D42" s="14"/>
      <c r="E42" s="14"/>
      <c r="F42" s="14"/>
      <c r="G42" s="15"/>
      <c r="H42" s="16"/>
      <c r="I42" s="104"/>
      <c r="J42" s="104"/>
      <c r="K42" s="14"/>
      <c r="L42" s="14"/>
      <c r="M42" s="14"/>
      <c r="N42" s="29"/>
      <c r="O42" s="14"/>
      <c r="P42" s="14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8">
        <v>2</v>
      </c>
    </row>
  </sheetData>
  <sheetProtection password="EB34" sheet="1" objects="1" scenarios="1" formatCells="0" formatColumns="0" formatRows="0"/>
  <mergeCells count="27"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G18"/>
  <sheetViews>
    <sheetView showGridLines="0" topLeftCell="I1" zoomScale="70" zoomScaleNormal="70" workbookViewId="0">
      <pane ySplit="8" topLeftCell="A9" activePane="bottomLeft" state="frozen"/>
      <selection pane="bottomLeft" activeCell="X9" sqref="X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46" t="s">
        <v>139</v>
      </c>
      <c r="F2" s="547"/>
      <c r="G2" s="100">
        <f>SUM(G9:G9999)</f>
        <v>1098720</v>
      </c>
      <c r="H2" s="15"/>
      <c r="O2" s="546" t="s">
        <v>24</v>
      </c>
      <c r="P2" s="547"/>
      <c r="Q2" s="98">
        <f>SUM(Q9:Q9999)</f>
        <v>994080</v>
      </c>
      <c r="T2" s="428" t="s">
        <v>137</v>
      </c>
      <c r="U2" s="430"/>
      <c r="V2" s="87">
        <f>SUM(V9:V9999)</f>
        <v>18240</v>
      </c>
      <c r="X2" s="86"/>
      <c r="Y2" s="428" t="s">
        <v>45</v>
      </c>
      <c r="Z2" s="429"/>
      <c r="AA2" s="430"/>
      <c r="AB2" s="88">
        <f>SUM(AB9:AB9999)</f>
        <v>0</v>
      </c>
    </row>
    <row r="4" spans="1:33" ht="39.9" customHeight="1" x14ac:dyDescent="0.3">
      <c r="P4" s="663"/>
      <c r="Q4" s="663"/>
      <c r="R4" s="663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5" customHeight="1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6" customFormat="1" ht="126" x14ac:dyDescent="0.3">
      <c r="A9" s="288">
        <v>1</v>
      </c>
      <c r="B9" s="302" t="s">
        <v>56</v>
      </c>
      <c r="C9" s="302" t="s">
        <v>328</v>
      </c>
      <c r="D9" s="302" t="s">
        <v>147</v>
      </c>
      <c r="E9" s="302" t="s">
        <v>329</v>
      </c>
      <c r="F9" s="302" t="s">
        <v>181</v>
      </c>
      <c r="G9" s="300">
        <v>1098720</v>
      </c>
      <c r="H9" s="289">
        <f>IF(AD9 = 2, G9 - Q9,0)</f>
        <v>104640</v>
      </c>
      <c r="I9" s="300">
        <v>1</v>
      </c>
      <c r="J9" s="300"/>
      <c r="K9" s="302" t="s">
        <v>162</v>
      </c>
      <c r="L9" s="302" t="s">
        <v>330</v>
      </c>
      <c r="M9" s="302" t="s">
        <v>331</v>
      </c>
      <c r="N9" s="305" t="s">
        <v>332</v>
      </c>
      <c r="O9" s="306">
        <v>2304067057</v>
      </c>
      <c r="P9" s="302" t="s">
        <v>333</v>
      </c>
      <c r="Q9" s="300">
        <v>994080</v>
      </c>
      <c r="R9" s="289">
        <f>IF(AD9 = 2, Q9 + SUM(Y9:Y9) - SUM(Z9:Z9) - SUM(V9:V9) - AB9,0)</f>
        <v>975840</v>
      </c>
      <c r="S9" s="302"/>
      <c r="T9" s="305">
        <v>45813</v>
      </c>
      <c r="U9" s="302" t="s">
        <v>334</v>
      </c>
      <c r="V9" s="300">
        <v>18240</v>
      </c>
      <c r="W9" s="305">
        <v>45818</v>
      </c>
      <c r="X9" s="302"/>
      <c r="Y9" s="300"/>
      <c r="Z9" s="300"/>
      <c r="AA9" s="302"/>
      <c r="AB9" s="300"/>
      <c r="AC9" s="294"/>
      <c r="AD9" s="106">
        <v>2</v>
      </c>
    </row>
    <row r="10" spans="1:33" hidden="1" x14ac:dyDescent="0.3">
      <c r="M10" s="3"/>
      <c r="AD10" s="8">
        <v>3</v>
      </c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  <row r="18" spans="13:13" hidden="1" x14ac:dyDescent="0.3">
      <c r="M18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47</v>
      </c>
      <c r="B1" s="65">
        <v>25</v>
      </c>
      <c r="C1" s="65">
        <v>9</v>
      </c>
      <c r="D1" s="666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667"/>
      <c r="E2" s="48"/>
      <c r="F2" s="80">
        <v>61</v>
      </c>
      <c r="G2" s="84">
        <v>54</v>
      </c>
      <c r="H2" s="83">
        <v>2</v>
      </c>
      <c r="I2" s="82">
        <v>2</v>
      </c>
      <c r="J2" s="81">
        <v>1</v>
      </c>
      <c r="K2" s="85">
        <v>2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145</v>
      </c>
      <c r="B4" s="62">
        <v>36</v>
      </c>
      <c r="C4" s="62">
        <v>9</v>
      </c>
      <c r="D4" s="668" t="s">
        <v>102</v>
      </c>
      <c r="E4" s="48"/>
      <c r="F4" s="80">
        <v>62</v>
      </c>
      <c r="G4" s="84">
        <v>55</v>
      </c>
      <c r="H4" s="83">
        <v>3</v>
      </c>
      <c r="I4" s="82">
        <v>3</v>
      </c>
      <c r="J4" s="81">
        <v>2</v>
      </c>
      <c r="K4" s="85">
        <v>3</v>
      </c>
    </row>
    <row r="5" spans="1:11" x14ac:dyDescent="0.3">
      <c r="A5" s="61" t="s">
        <v>89</v>
      </c>
      <c r="B5" s="62" t="s">
        <v>88</v>
      </c>
      <c r="C5" s="62" t="s">
        <v>87</v>
      </c>
      <c r="D5" s="669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13</v>
      </c>
      <c r="B7" s="64">
        <v>2</v>
      </c>
      <c r="C7" s="64">
        <v>9</v>
      </c>
      <c r="D7" s="670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671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12</v>
      </c>
      <c r="B10" s="60">
        <v>2</v>
      </c>
      <c r="C10" s="60">
        <v>9</v>
      </c>
      <c r="D10" s="672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673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41</v>
      </c>
      <c r="B13" s="58">
        <v>1</v>
      </c>
      <c r="C13" s="58">
        <v>9</v>
      </c>
      <c r="D13" s="674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675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9</v>
      </c>
      <c r="B16" s="56">
        <v>1</v>
      </c>
      <c r="C16" s="56">
        <v>9</v>
      </c>
      <c r="D16" s="664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665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Анастасия Унгурян</cp:lastModifiedBy>
  <cp:lastPrinted>2019-09-24T06:31:40Z</cp:lastPrinted>
  <dcterms:created xsi:type="dcterms:W3CDTF">2017-01-25T04:28:39Z</dcterms:created>
  <dcterms:modified xsi:type="dcterms:W3CDTF">2025-07-03T13:03:27Z</dcterms:modified>
</cp:coreProperties>
</file>