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Владелец\Downloads\"/>
    </mc:Choice>
  </mc:AlternateContent>
  <workbookProtection workbookPassword="EB34" lockStructure="1"/>
  <bookViews>
    <workbookView xWindow="0" yWindow="0" windowWidth="23040" windowHeight="8616" tabRatio="603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62913" iterate="1"/>
</workbook>
</file>

<file path=xl/calcChain.xml><?xml version="1.0" encoding="utf-8"?>
<calcChain xmlns="http://schemas.openxmlformats.org/spreadsheetml/2006/main">
  <c r="M5" i="21" l="1"/>
  <c r="G2" i="20" l="1"/>
  <c r="Q2" i="20"/>
  <c r="V2" i="20"/>
  <c r="AB2" i="20"/>
  <c r="G2" i="22"/>
  <c r="Q2" i="22"/>
  <c r="V2" i="22"/>
  <c r="AB2" i="22"/>
  <c r="H9" i="17"/>
  <c r="R9" i="17"/>
  <c r="G2" i="17"/>
  <c r="Q2" i="17"/>
  <c r="V2" i="17"/>
  <c r="AB2" i="17"/>
  <c r="I12" i="31"/>
  <c r="H2" i="31"/>
  <c r="P2" i="31"/>
  <c r="V2" i="31"/>
  <c r="H14" i="17"/>
  <c r="R14" i="17"/>
  <c r="G2" i="19"/>
  <c r="N2" i="19"/>
  <c r="T2" i="19"/>
  <c r="I9" i="27"/>
  <c r="H2" i="27"/>
  <c r="P2" i="27"/>
  <c r="V2" i="27"/>
  <c r="H9" i="20"/>
  <c r="R9" i="20"/>
  <c r="I90" i="31"/>
  <c r="I20" i="27"/>
  <c r="I114" i="31"/>
  <c r="I122" i="31"/>
  <c r="I64" i="31"/>
  <c r="I54" i="31"/>
  <c r="I41" i="31"/>
  <c r="I196" i="31" l="1"/>
  <c r="I195" i="31" l="1"/>
  <c r="I194" i="31"/>
  <c r="I193" i="31"/>
  <c r="I192" i="31"/>
  <c r="I191" i="31" l="1"/>
  <c r="I190" i="31"/>
  <c r="I189" i="31"/>
  <c r="I56" i="27" l="1"/>
  <c r="I68" i="27" l="1"/>
  <c r="I188" i="31" l="1"/>
  <c r="I187" i="31" l="1"/>
  <c r="I150" i="31"/>
  <c r="I64" i="27"/>
  <c r="I21" i="31"/>
  <c r="I186" i="31" l="1"/>
  <c r="I185" i="31"/>
  <c r="I67" i="27" l="1"/>
  <c r="I66" i="27"/>
  <c r="I63" i="27"/>
  <c r="I184" i="31"/>
  <c r="I62" i="27" l="1"/>
  <c r="I183" i="31"/>
  <c r="I53" i="27" l="1"/>
  <c r="I181" i="31"/>
  <c r="I62" i="31"/>
  <c r="I43" i="27" l="1"/>
  <c r="H13" i="19" l="1"/>
  <c r="I61" i="27" l="1"/>
  <c r="I60" i="27"/>
  <c r="I180" i="31"/>
  <c r="H9" i="19" l="1"/>
  <c r="H9" i="22"/>
  <c r="R9" i="22"/>
  <c r="I158" i="31" l="1"/>
  <c r="I156" i="31"/>
  <c r="I170" i="31"/>
  <c r="I160" i="31"/>
  <c r="I58" i="27"/>
  <c r="I47" i="27"/>
  <c r="I52" i="27" l="1"/>
  <c r="I51" i="27"/>
  <c r="I50" i="27"/>
  <c r="I49" i="27"/>
  <c r="I179" i="31" l="1"/>
  <c r="I178" i="31"/>
  <c r="I46" i="27"/>
  <c r="I45" i="27" l="1"/>
  <c r="I177" i="31"/>
  <c r="I42" i="27"/>
  <c r="I176" i="31"/>
  <c r="I41" i="27"/>
  <c r="I175" i="31"/>
  <c r="I174" i="31"/>
  <c r="I133" i="31" l="1"/>
  <c r="I130" i="31"/>
  <c r="I87" i="31"/>
  <c r="I72" i="31"/>
  <c r="I36" i="27"/>
  <c r="I9" i="31"/>
  <c r="I40" i="27" l="1"/>
  <c r="I39" i="27" l="1"/>
  <c r="I38" i="27"/>
  <c r="I155" i="31"/>
  <c r="I35" i="27"/>
  <c r="I34" i="27"/>
  <c r="I149" i="31" l="1"/>
  <c r="I148" i="31" l="1"/>
  <c r="I147" i="31"/>
  <c r="I33" i="27"/>
  <c r="I19" i="27"/>
  <c r="I146" i="31"/>
  <c r="I145" i="31"/>
  <c r="I143" i="31"/>
  <c r="I139" i="31" l="1"/>
  <c r="I18" i="27" l="1"/>
  <c r="I17" i="27"/>
  <c r="I69" i="27"/>
  <c r="I142" i="31" l="1"/>
  <c r="I141" i="31" l="1"/>
  <c r="I49" i="31" l="1"/>
  <c r="D13" i="21" l="1"/>
  <c r="R8" i="20" l="1"/>
  <c r="H8" i="20"/>
  <c r="R8" i="22"/>
  <c r="H8" i="22"/>
  <c r="I8" i="27" l="1"/>
  <c r="J9" i="21" l="1"/>
  <c r="J13" i="21"/>
  <c r="G13" i="21" l="1"/>
  <c r="J14" i="21"/>
  <c r="D14" i="21"/>
  <c r="D12" i="21"/>
  <c r="J12" i="21"/>
  <c r="D19" i="21"/>
  <c r="G14" i="21" l="1"/>
  <c r="M14" i="21" s="1"/>
  <c r="G12" i="21"/>
  <c r="M13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<sst xmlns="http://schemas.openxmlformats.org/spreadsheetml/2006/main" count="1196" uniqueCount="396">
  <si>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</si>
  <si>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</si>
  <si>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</si>
  <si>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</si>
  <si>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</si>
  <si>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</si>
  <si>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</si>
  <si>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</si>
  <si>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</si>
  <si>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</si>
  <si>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</si>
  <si>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</si>
  <si>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</si>
  <si>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</si>
  <si>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</si>
  <si>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</si>
  <si>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</si>
  <si>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</si>
  <si>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</si>
  <si>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</si>
  <si>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</si>
  <si>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</si>
  <si>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</si>
  <si>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</si>
  <si>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</si>
  <si>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</si>
  <si>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</si>
  <si>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</si>
  <si>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</si>
  <si>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</si>
  <si>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</si>
  <si>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</si>
  <si>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</si>
  <si>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</si>
  <si>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</si>
  <si>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</si>
  <si>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</si>
  <si>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</si>
  <si>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</si>
  <si>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</si>
  <si>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</si>
  <si>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</si>
  <si>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</si>
  <si>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</si>
  <si>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</si>
  <si>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</si>
  <si>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</si>
  <si>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</si>
  <si>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</si>
  <si>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</si>
  <si>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</si>
  <si>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</si>
  <si>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</si>
  <si>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</si>
  <si>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</si>
  <si>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</si>
  <si>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</si>
  <si>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</si>
  <si>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</si>
  <si>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</si>
  <si>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</si>
  <si>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</si>
  <si>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</si>
  <si>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</si>
  <si>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</si>
  <si>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</si>
  <si>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</si>
  <si>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</si>
  <si>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</si>
  <si>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</si>
  <si>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</si>
  <si>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</si>
  <si>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</si>
  <si>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</si>
  <si>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</si>
  <si>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</si>
  <si>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</si>
  <si>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</si>
  <si>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</si>
  <si>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</si>
  <si>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</si>
  <si>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</si>
  <si>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</si>
  <si>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</si>
  <si>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</si>
  <si>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</si>
  <si>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</si>
  <si>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</si>
  <si>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</si>
  <si>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</si>
  <si>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</si>
  <si>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</si>
  <si>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</si>
  <si>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</si>
  <si>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</si>
  <si>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</si>
  <si>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</si>
  <si>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</si>
  <si>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</si>
  <si>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</si>
  <si>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</si>
  <si>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</si>
  <si>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</si>
  <si>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</si>
  <si>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</si>
  <si>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</si>
  <si>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</si>
  <si>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</si>
  <si>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</si>
  <si>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</si>
  <si>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</si>
  <si>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</si>
  <si>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</si>
  <si>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</si>
  <si>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</si>
  <si>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</si>
  <si>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</si>
  <si>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</si>
  <si>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</si>
  <si>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</si>
  <si>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</si>
  <si>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</si>
  <si>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</si>
  <si>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</si>
  <si>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</si>
  <si>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</si>
  <si>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</si>
  <si>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</si>
  <si>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</si>
  <si>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</si>
  <si>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</si>
  <si>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</si>
  <si>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</si>
  <si>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</si>
  <si>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</si>
  <si>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</si>
  <si>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</si>
  <si>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</si>
  <si>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</si>
  <si>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</si>
  <si>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</si>
  <si>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</si>
  <si>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</si>
  <si>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</si>
  <si>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</si>
  <si>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</si>
  <si>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нет</t>
  </si>
  <si>
    <t>925 0000 0000000000 244</t>
  </si>
  <si>
    <t>Оказание услуг по обращению с твердыми коммунальными отходами</t>
  </si>
  <si>
    <t>ПАО "ТНС энерго Кубань"</t>
  </si>
  <si>
    <t>ООО "Коммунальник"</t>
  </si>
  <si>
    <t>до 25 числа</t>
  </si>
  <si>
    <t>1401</t>
  </si>
  <si>
    <t>Поставка тепловой энергии</t>
  </si>
  <si>
    <t>АО "АТЭК"</t>
  </si>
  <si>
    <t>Согласно графика</t>
  </si>
  <si>
    <t>ООО "Тимашевское ПРТ Райпо"</t>
  </si>
  <si>
    <t>ООО "КАНкорт"</t>
  </si>
  <si>
    <t>ИП Дудкин</t>
  </si>
  <si>
    <t>ИП Барма</t>
  </si>
  <si>
    <t>МБОУ СОШ №6</t>
  </si>
  <si>
    <t>АО "Мусороуборочная компания"</t>
  </si>
  <si>
    <t>да</t>
  </si>
  <si>
    <t>Поставка бензина Аи-92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</si>
  <si>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</si>
  <si>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Холодное водоснабжение</t>
  </si>
  <si>
    <t>До 25 числа каждого месяца</t>
  </si>
  <si>
    <t>Электроэнергия</t>
  </si>
  <si>
    <t>30 % до 10 числа, 40 % до 25 числа</t>
  </si>
  <si>
    <t>До 10 числа месяца, следующего за отчетным</t>
  </si>
  <si>
    <t>925 0000 0000000000 247</t>
  </si>
  <si>
    <t>23070500203</t>
  </si>
  <si>
    <t>20456/ТМ</t>
  </si>
  <si>
    <t>Централизованная охрана объекта (ктс)</t>
  </si>
  <si>
    <t>ФГКУ "УВО ВНГ России по Краснодарскому краю" ОВО по Тимашевскому району</t>
  </si>
  <si>
    <t>925 0000 0000000000244</t>
  </si>
  <si>
    <t>925  0000 0000000000 244</t>
  </si>
  <si>
    <t>Оказание услуг питания детей</t>
  </si>
  <si>
    <t>2353020735</t>
  </si>
  <si>
    <t>ООО "Тимашевское ПРТ райпо"</t>
  </si>
  <si>
    <t>0818300019923000374</t>
  </si>
  <si>
    <t>Услуги частной охраны (Выставление поста охраны)</t>
  </si>
  <si>
    <t>Общество с ограниченной ответственностью Частная охранная организация "Легион"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</si>
  <si>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</si>
  <si>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сопровождение системы ГЛОНАСС</t>
  </si>
  <si>
    <t>сервисное обслуживание теплосчетчиков</t>
  </si>
  <si>
    <t>то систем АПС</t>
  </si>
  <si>
    <t>ИП Даценко</t>
  </si>
  <si>
    <t>Стрелец-мониторинг</t>
  </si>
  <si>
    <t>оказание услуг по организации питания инвалидов, ОВЗ</t>
  </si>
  <si>
    <t>Предоставление охраняемой автостоянки, предрейсовому и послерейсовому то автотранспортв и медицинскому освидетельствованию водителей.</t>
  </si>
  <si>
    <t>ремонт автобуса</t>
  </si>
  <si>
    <t>243235301409723530100100140015629244</t>
  </si>
  <si>
    <t>0818300019924000321</t>
  </si>
  <si>
    <t>32353014097 24 000007</t>
  </si>
  <si>
    <t>24 32353014097235301001 0015 001 8010 244</t>
  </si>
  <si>
    <t>32353014097 24 000008</t>
  </si>
  <si>
    <t>0818300019924000328</t>
  </si>
  <si>
    <t>оказание услуг по организации питания многодетные</t>
  </si>
  <si>
    <t>2024.478899</t>
  </si>
  <si>
    <t>ООО "Альянс Розница"</t>
  </si>
  <si>
    <t>ДГ-25/109</t>
  </si>
  <si>
    <t>18/25</t>
  </si>
  <si>
    <t>34001035</t>
  </si>
  <si>
    <t>ТО кнопки тревожной сигнализации</t>
  </si>
  <si>
    <t xml:space="preserve">оказание услуг  по организации питания учащихся </t>
  </si>
  <si>
    <t>К029149/25</t>
  </si>
  <si>
    <t>программное обеспечение</t>
  </si>
  <si>
    <t>ОА "ПФ "СКБ Контур"</t>
  </si>
  <si>
    <t>в течение 10 (десяти) рабочих дней с момента его получения путем перечисления 30% суммы, указанной в счете. Оставшиеся 70% Лицензиат обязан оплатить в течение 10 (десяти) рабочих дней с даты, указанной в акте сдачи-приемки или УПД.</t>
  </si>
  <si>
    <t>ИП Аполонов</t>
  </si>
  <si>
    <t>210012514659-122024</t>
  </si>
  <si>
    <t>услуга по идентификации АСН в ГАИС "ЭРА-ГЛОНАСС"</t>
  </si>
  <si>
    <t>7703383783</t>
  </si>
  <si>
    <t>АО "ГЛОНАСС"</t>
  </si>
  <si>
    <t>23-12034</t>
  </si>
  <si>
    <t>Полиграфическая продукция</t>
  </si>
  <si>
    <t>7706526550</t>
  </si>
  <si>
    <t>ООО "СБМ"</t>
  </si>
  <si>
    <t>А0174377</t>
  </si>
  <si>
    <t>Поставка учебной литературы</t>
  </si>
  <si>
    <t>АО "Издательство "Просвещение"</t>
  </si>
  <si>
    <t>А0172245</t>
  </si>
  <si>
    <t>Поставка учебников</t>
  </si>
  <si>
    <t>до 30 июня 2025</t>
  </si>
  <si>
    <t>В течение 10 рабочих дней со дня подписания Заказчиком УПД</t>
  </si>
  <si>
    <t>Поставка мебели</t>
  </si>
  <si>
    <t>235306300848</t>
  </si>
  <si>
    <t>Самозанятый гражданин Егорова Виктория Павловна</t>
  </si>
  <si>
    <t>6/25</t>
  </si>
  <si>
    <t>Дезинфекция</t>
  </si>
  <si>
    <t>ООО "Дезинфекция"</t>
  </si>
  <si>
    <t>Шины</t>
  </si>
  <si>
    <t>235303483777</t>
  </si>
  <si>
    <t>06/26.02</t>
  </si>
  <si>
    <t>ООО "Вольный странник"</t>
  </si>
  <si>
    <t>книги</t>
  </si>
  <si>
    <t>Мясорубка</t>
  </si>
  <si>
    <t>ИП Латышева</t>
  </si>
  <si>
    <t>Услуги связи</t>
  </si>
  <si>
    <t>7707049388</t>
  </si>
  <si>
    <t>ПАО "Ростелеком"</t>
  </si>
  <si>
    <t>баннеры</t>
  </si>
  <si>
    <t>235303800426</t>
  </si>
  <si>
    <t>ИП Шашанков</t>
  </si>
  <si>
    <t>Форма</t>
  </si>
  <si>
    <t>ИП Котляров Е.В.</t>
  </si>
  <si>
    <t>97</t>
  </si>
  <si>
    <t>медосмотр</t>
  </si>
  <si>
    <t>ГБУЗ "Тимашевская ЦРБ"</t>
  </si>
  <si>
    <t>2025.080044</t>
  </si>
  <si>
    <t>6-25-К</t>
  </si>
  <si>
    <t>Дезинсекция</t>
  </si>
  <si>
    <t>2353018870</t>
  </si>
  <si>
    <t>73-ЭО</t>
  </si>
  <si>
    <t>Оказание консультационных услуг по составлению отчетности</t>
  </si>
  <si>
    <t>235306110100</t>
  </si>
  <si>
    <t>ИП Казерова</t>
  </si>
  <si>
    <t>бн</t>
  </si>
  <si>
    <t>поставка учебно-педагогической документации</t>
  </si>
  <si>
    <t>ООО "Краснодарский учколлектор"</t>
  </si>
  <si>
    <t>К143186/25</t>
  </si>
  <si>
    <t>Право использования программы для ЭВМ</t>
  </si>
  <si>
    <t>6663003127</t>
  </si>
  <si>
    <t>АО "Производственная фирма "СКБ Контур"</t>
  </si>
  <si>
    <t>в течение 7 рабочих дней с момента подписания Заказчиком и Подрядчиком акта приема-сдачи и предоставленного Подрядчиком документа на оплату</t>
  </si>
  <si>
    <t>ИП Тарануха</t>
  </si>
  <si>
    <t>233003348389</t>
  </si>
  <si>
    <t>Канцтовары, бумага</t>
  </si>
  <si>
    <t>Ремонт МФУ</t>
  </si>
  <si>
    <t>235300809163</t>
  </si>
  <si>
    <t>ИП Коваленко</t>
  </si>
  <si>
    <t>126</t>
  </si>
  <si>
    <t>шиномонтаж</t>
  </si>
  <si>
    <t>235305769122</t>
  </si>
  <si>
    <t>31.03.202,5</t>
  </si>
  <si>
    <t>оказание услуг по организации питания</t>
  </si>
  <si>
    <t xml:space="preserve">нет </t>
  </si>
  <si>
    <t>Поставка мотоблока</t>
  </si>
  <si>
    <t>230801417961</t>
  </si>
  <si>
    <t>ИП Осипян</t>
  </si>
  <si>
    <t>31</t>
  </si>
  <si>
    <t>Косилка роторная</t>
  </si>
  <si>
    <t>Технический осмотр автобуса</t>
  </si>
  <si>
    <t>138-ТО</t>
  </si>
  <si>
    <t>534246403</t>
  </si>
  <si>
    <t>Передача неисключительных прав использования базы данных</t>
  </si>
  <si>
    <t>7713754243</t>
  </si>
  <si>
    <t>ООО "М-пресс"</t>
  </si>
  <si>
    <t>ИП Титаренко</t>
  </si>
  <si>
    <t>262702826243</t>
  </si>
  <si>
    <t>АКБ</t>
  </si>
  <si>
    <t>30</t>
  </si>
  <si>
    <t>5665/212</t>
  </si>
  <si>
    <t>Подписка периодической печати</t>
  </si>
  <si>
    <t>7724490000</t>
  </si>
  <si>
    <t>АО "Почта России"</t>
  </si>
  <si>
    <t>32</t>
  </si>
  <si>
    <t>19/05</t>
  </si>
  <si>
    <t>Стенды</t>
  </si>
  <si>
    <t>162802903788</t>
  </si>
  <si>
    <t>ИП Стусь</t>
  </si>
  <si>
    <t>37</t>
  </si>
  <si>
    <t>33</t>
  </si>
  <si>
    <t>38</t>
  </si>
  <si>
    <t>Проектор</t>
  </si>
  <si>
    <t>231107998282</t>
  </si>
  <si>
    <t>АТ00-004759</t>
  </si>
  <si>
    <t>2311187588</t>
  </si>
  <si>
    <t>ООО "АйТи Мониторинг"</t>
  </si>
  <si>
    <t>06/СМЭВ/52</t>
  </si>
  <si>
    <t>предоставление сертификата</t>
  </si>
  <si>
    <t>2310240550</t>
  </si>
  <si>
    <t>ООО "ЦИТ"</t>
  </si>
  <si>
    <t>06/К/СМЭВ/49</t>
  </si>
  <si>
    <t>оказание услуг по установке конфигурационных файлов</t>
  </si>
  <si>
    <t>Бумага</t>
  </si>
  <si>
    <t>2025/6</t>
  </si>
  <si>
    <t>Питание лагерь</t>
  </si>
  <si>
    <t>23530020735</t>
  </si>
  <si>
    <t>1/2025/12</t>
  </si>
  <si>
    <t>Услуги по публичному показу музейных ценностей</t>
  </si>
  <si>
    <t>2310052884</t>
  </si>
  <si>
    <t>ГБУК КК "КГИАМЗ им. Фелицына"</t>
  </si>
  <si>
    <t>30 % предоплаты от общей цены контракта, в течение 5 рабочих дней со дня получения счета на оплату, окончательный расчет в течение 5 рабочих дней с даты подписания акта</t>
  </si>
  <si>
    <t>442</t>
  </si>
  <si>
    <t>Тахограф</t>
  </si>
  <si>
    <t>2369000660</t>
  </si>
  <si>
    <t>253235301409723530100100130018010244</t>
  </si>
  <si>
    <t xml:space="preserve">0818300019925000137 </t>
  </si>
  <si>
    <t>32353014097 25 000002</t>
  </si>
  <si>
    <t>0818300019925000137</t>
  </si>
  <si>
    <t xml:space="preserve"> 23.05.2025</t>
  </si>
  <si>
    <t>ОБЩЕСТВО С ОГРАНИЧЕННОЙ ОТВЕТСТВЕННОСТЬЮ ЧАСТНАЯ ОХРАННАЯ ОРГАНИЗАЦИЯ "ЛЕГИОН" (ООО ЧОО "ЛЕГИОН")</t>
  </si>
  <si>
    <t>не более 7 (семи) рабочих дней с даты подписания Заказчиком документа о приемке.</t>
  </si>
  <si>
    <t>25 32353014097235301001 0014 001 5629 244</t>
  </si>
  <si>
    <t>0818300019925000172</t>
  </si>
  <si>
    <t>Оказание услуги по организации питания учащихся муниципальных бюджетных общеобразовательных учреждений средних общеобразовательных школ муниципального образования Тимашевский район.</t>
  </si>
  <si>
    <t xml:space="preserve"> 32353014097 25 000003</t>
  </si>
  <si>
    <t>ОБЩЕСТВО С ОГРАНИЧЕННОЙ ОТВЕТСТВЕННОСТЬЮ "ТИМАШЕВСКОЕ ПРЕДПРИЯТИЕ РОЗНИЧНОЙ ТОРГОВЛИ РАЙПО" (ООО "ТИМАШЕВСКОЕ ПРТ РАЙПО")</t>
  </si>
  <si>
    <t>бн от 11.06.2025</t>
  </si>
  <si>
    <t>40</t>
  </si>
  <si>
    <t>обучение</t>
  </si>
  <si>
    <t>182</t>
  </si>
  <si>
    <t>краска</t>
  </si>
  <si>
    <t>033-ПН-25</t>
  </si>
  <si>
    <t>Испытание и измерение электроустановок и электрооборудования</t>
  </si>
  <si>
    <t>235302001163</t>
  </si>
  <si>
    <t>ИП Ромчук</t>
  </si>
  <si>
    <t>ФБУЗ "Центр гигиены и эпидемиологии в Краснодарском крае"</t>
  </si>
  <si>
    <t>2308105200</t>
  </si>
  <si>
    <t>Лабораторные исследования воды</t>
  </si>
  <si>
    <t>675</t>
  </si>
  <si>
    <t>ЧОУ ДПО "Сигнал"</t>
  </si>
  <si>
    <t>А0219229</t>
  </si>
  <si>
    <t>Учебники</t>
  </si>
  <si>
    <t>1780/2025</t>
  </si>
  <si>
    <t>СОУТ</t>
  </si>
  <si>
    <t>2310136750</t>
  </si>
  <si>
    <t>ООО "Карьера"</t>
  </si>
  <si>
    <t>Замена щитков освещения</t>
  </si>
  <si>
    <t>А0234044</t>
  </si>
  <si>
    <t>в течение 10 рабочих дней с момента подписания Заказчиком и Подрядчиком акта приема-сдачи и предоставленного Подрядчиком документа на оплату</t>
  </si>
  <si>
    <t>2353021249</t>
  </si>
  <si>
    <t>ООО "Ремстройэнерго"</t>
  </si>
  <si>
    <t>501</t>
  </si>
  <si>
    <t>Поверка счетчика</t>
  </si>
  <si>
    <t>235301271520</t>
  </si>
  <si>
    <t>ОАО "ВСК"</t>
  </si>
  <si>
    <t>7710026574</t>
  </si>
  <si>
    <t>Страхование гражданской ответственности</t>
  </si>
  <si>
    <t>экскурсионные услуги</t>
  </si>
  <si>
    <t>Приход храма вознесения Господня</t>
  </si>
  <si>
    <t>34</t>
  </si>
  <si>
    <t>Поставка электроэнергии</t>
  </si>
  <si>
    <t>35</t>
  </si>
  <si>
    <t>39/2025-Т</t>
  </si>
  <si>
    <t>Опрессовка системы центрального отопления</t>
  </si>
  <si>
    <t>2312314060</t>
  </si>
  <si>
    <t>ООО "ТеплоСервис"</t>
  </si>
  <si>
    <t>248</t>
  </si>
  <si>
    <t>249</t>
  </si>
  <si>
    <t>250</t>
  </si>
  <si>
    <t>Поставка товара</t>
  </si>
  <si>
    <t xml:space="preserve">925 0000 0000000000 244 </t>
  </si>
  <si>
    <t>42</t>
  </si>
  <si>
    <t>43/1</t>
  </si>
  <si>
    <t>43</t>
  </si>
  <si>
    <t>44</t>
  </si>
  <si>
    <t>Оказание услуг по организации горячего питания учащихся 5-11 классов из многодетных семей</t>
  </si>
  <si>
    <t>Оказание услуг по организации питания обучающихся 5-11 классов из семей граждан, участвующих в СВО</t>
  </si>
  <si>
    <t>Оказание услуг по организации питания учащихся с ОВЗ и инвалидов</t>
  </si>
  <si>
    <t>Оказание услуг по организации питания (14 руб)</t>
  </si>
  <si>
    <t>бн 15.04.25</t>
  </si>
  <si>
    <t>бн 22.05.25</t>
  </si>
  <si>
    <t>Оказание информационно-консультационных услуг по составлению журналов движения отходов за 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</si>
</sst>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88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4" fontId="3" fillId="0" borderId="0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7" fontId="1" fillId="0" borderId="0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Fill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18" borderId="0" xfId="0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49" fontId="1" fillId="4" borderId="0" xfId="0" applyNumberFormat="1" applyFont="1" applyFill="1" applyAlignment="1">
      <alignment horizontal="center" vertical="center" wrapText="1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>
      <alignment horizontal="center" vertical="center" wrapText="1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3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>
      <alignment horizontal="center" vertical="center" wrapText="1"/>
    </xf>
    <xf numFmtId="49" fontId="1" fillId="4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7" fontId="1" fillId="0" borderId="25" xfId="0" applyNumberFormat="1" applyFont="1" applyBorder="1" applyAlignment="1" applyProtection="1">
      <alignment horizontal="center" vertical="center" wrapText="1"/>
      <protection locked="0"/>
    </xf>
    <xf numFmtId="0" fontId="1" fillId="0" borderId="25" xfId="0" applyFont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>
      <alignment horizontal="center" vertical="center" wrapText="1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>
      <alignment horizontal="center" vertical="center" wrapText="1"/>
    </xf>
    <xf numFmtId="165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16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>
      <alignment horizontal="center" vertical="center" wrapText="1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4" xfId="0" applyNumberFormat="1" applyFont="1" applyFill="1" applyBorder="1" applyAlignment="1">
      <alignment horizontal="center" vertical="center" wrapText="1"/>
    </xf>
    <xf numFmtId="49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4" xfId="0" applyNumberFormat="1" applyFont="1" applyFill="1" applyBorder="1" applyAlignment="1">
      <alignment horizontal="center" vertical="center" wrapText="1"/>
    </xf>
    <xf numFmtId="16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9" fontId="1" fillId="18" borderId="75" xfId="0" applyNumberFormat="1" applyFont="1" applyFill="1" applyBorder="1" applyAlignment="1">
      <alignment horizontal="center" vertical="center" wrapText="1"/>
    </xf>
    <xf numFmtId="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5" xfId="0" applyFont="1" applyFill="1" applyBorder="1" applyAlignment="1" applyProtection="1">
      <alignment horizontal="center" vertical="center" wrapText="1"/>
      <protection locked="0"/>
    </xf>
    <xf numFmtId="165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5" xfId="0" applyNumberFormat="1" applyFont="1" applyFill="1" applyBorder="1" applyAlignment="1">
      <alignment horizontal="center" vertical="center" wrapText="1"/>
    </xf>
    <xf numFmtId="16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78" xfId="0" applyNumberFormat="1" applyFont="1" applyFill="1" applyBorder="1" applyAlignment="1" applyProtection="1">
      <alignment horizontal="center" vertical="center" wrapText="1"/>
      <protection locked="0"/>
    </xf>
    <xf numFmtId="4" fontId="17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14" fontId="1" fillId="18" borderId="7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9" xfId="0" applyFont="1" applyFill="1" applyBorder="1" applyAlignment="1" applyProtection="1">
      <alignment horizontal="center" vertical="center" wrapText="1"/>
      <protection locked="0"/>
    </xf>
    <xf numFmtId="49" fontId="1" fillId="18" borderId="79" xfId="0" applyNumberFormat="1" applyFont="1" applyFill="1" applyBorder="1" applyAlignment="1">
      <alignment horizontal="center" vertical="center" wrapText="1"/>
    </xf>
    <xf numFmtId="49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9" xfId="0" applyNumberFormat="1" applyFont="1" applyFill="1" applyBorder="1" applyAlignment="1">
      <alignment horizontal="center" vertical="center" wrapText="1"/>
    </xf>
    <xf numFmtId="16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49" fontId="1" fillId="18" borderId="81" xfId="0" applyNumberFormat="1" applyFont="1" applyFill="1" applyBorder="1" applyAlignment="1">
      <alignment horizontal="center" vertical="center" wrapText="1"/>
    </xf>
    <xf numFmtId="165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49" fontId="1" fillId="18" borderId="81" xfId="0" applyNumberFormat="1" applyFont="1" applyFill="1" applyBorder="1" applyAlignment="1">
      <alignment horizontal="center" vertical="center" wrapText="1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>
      <alignment horizontal="center" vertical="center" wrapText="1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92" xfId="0" applyNumberFormat="1" applyFont="1" applyFill="1" applyBorder="1" applyAlignment="1" applyProtection="1">
      <alignment horizontal="center" vertical="center" wrapText="1"/>
      <protection locked="0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8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Fill="1" applyBorder="1" applyAlignment="1">
      <alignment horizontal="center" vertical="center" wrapText="1"/>
    </xf>
    <xf numFmtId="4" fontId="3" fillId="0" borderId="17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168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0" xfId="0" applyFont="1" applyFill="1" applyBorder="1" applyAlignment="1" applyProtection="1">
      <alignment horizontal="center" vertical="center" wrapText="1"/>
      <protection locked="0"/>
    </xf>
    <xf numFmtId="0" fontId="1" fillId="18" borderId="81" xfId="0" applyFont="1" applyFill="1" applyBorder="1" applyAlignment="1" applyProtection="1">
      <alignment horizontal="center" vertical="center" wrapText="1"/>
      <protection locked="0"/>
    </xf>
    <xf numFmtId="1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0" xfId="0" applyNumberFormat="1" applyFont="1" applyFill="1" applyBorder="1" applyAlignment="1">
      <alignment horizontal="center" vertical="center" wrapText="1"/>
    </xf>
    <xf numFmtId="4" fontId="1" fillId="18" borderId="81" xfId="0" applyNumberFormat="1" applyFont="1" applyFill="1" applyBorder="1" applyAlignment="1">
      <alignment horizontal="center" vertical="center" wrapText="1"/>
    </xf>
    <xf numFmtId="49" fontId="1" fillId="18" borderId="76" xfId="0" applyNumberFormat="1" applyFont="1" applyFill="1" applyBorder="1" applyAlignment="1">
      <alignment horizontal="center" vertical="center" wrapText="1"/>
    </xf>
    <xf numFmtId="49" fontId="1" fillId="18" borderId="78" xfId="0" applyNumberFormat="1" applyFont="1" applyFill="1" applyBorder="1" applyAlignment="1">
      <alignment horizontal="center" vertical="center" wrapText="1"/>
    </xf>
    <xf numFmtId="1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6" xfId="0" applyNumberFormat="1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>
      <alignment horizontal="center" vertical="center" wrapText="1"/>
    </xf>
    <xf numFmtId="4" fontId="1" fillId="18" borderId="68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49" fontId="1" fillId="18" borderId="67" xfId="0" applyNumberFormat="1" applyFont="1" applyFill="1" applyBorder="1" applyAlignment="1">
      <alignment horizontal="center" vertical="center" wrapText="1"/>
    </xf>
    <xf numFmtId="49" fontId="1" fillId="18" borderId="68" xfId="0" applyNumberFormat="1" applyFont="1" applyFill="1" applyBorder="1" applyAlignment="1">
      <alignment horizontal="center" vertical="center" wrapText="1"/>
    </xf>
    <xf numFmtId="49" fontId="1" fillId="18" borderId="80" xfId="0" applyNumberFormat="1" applyFont="1" applyFill="1" applyBorder="1" applyAlignment="1">
      <alignment horizontal="center" vertical="center" wrapText="1"/>
    </xf>
    <xf numFmtId="49" fontId="1" fillId="18" borderId="81" xfId="0" applyNumberFormat="1" applyFont="1" applyFill="1" applyBorder="1" applyAlignment="1">
      <alignment horizontal="center" vertical="center" wrapText="1"/>
    </xf>
    <xf numFmtId="168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6" xfId="0" applyFont="1" applyFill="1" applyBorder="1" applyAlignment="1" applyProtection="1">
      <alignment horizontal="center" vertical="center" wrapText="1"/>
      <protection locked="0"/>
    </xf>
    <xf numFmtId="0" fontId="1" fillId="18" borderId="78" xfId="0" applyFont="1" applyFill="1" applyBorder="1" applyAlignment="1" applyProtection="1">
      <alignment horizontal="center" vertical="center" wrapText="1"/>
      <protection locked="0"/>
    </xf>
    <xf numFmtId="4" fontId="1" fillId="18" borderId="76" xfId="0" applyNumberFormat="1" applyFont="1" applyFill="1" applyBorder="1" applyAlignment="1">
      <alignment horizontal="center" vertical="center" wrapText="1"/>
    </xf>
    <xf numFmtId="4" fontId="1" fillId="18" borderId="78" xfId="0" applyNumberFormat="1" applyFont="1" applyFill="1" applyBorder="1" applyAlignment="1">
      <alignment horizontal="center" vertical="center" wrapText="1"/>
    </xf>
    <xf numFmtId="168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6" xfId="0" applyFont="1" applyFill="1" applyBorder="1" applyAlignment="1" applyProtection="1">
      <alignment horizontal="center" vertical="center" wrapText="1"/>
      <protection locked="0"/>
    </xf>
    <xf numFmtId="0" fontId="1" fillId="18" borderId="67" xfId="0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0" fontId="1" fillId="18" borderId="64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5" xfId="0" applyNumberFormat="1" applyFont="1" applyFill="1" applyBorder="1" applyAlignment="1">
      <alignment horizontal="center" vertical="center" wrapText="1"/>
    </xf>
    <xf numFmtId="168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6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>
      <alignment horizontal="center" vertical="center" wrapText="1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>
      <alignment horizontal="center" vertical="center" wrapText="1"/>
    </xf>
    <xf numFmtId="49" fontId="1" fillId="18" borderId="65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4" fontId="1" fillId="18" borderId="38" xfId="0" applyNumberFormat="1" applyFont="1" applyFill="1" applyBorder="1" applyAlignment="1">
      <alignment horizontal="center" vertical="center" wrapText="1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0" fontId="1" fillId="18" borderId="38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>
      <alignment horizontal="center" vertical="center" wrapText="1"/>
    </xf>
    <xf numFmtId="49" fontId="1" fillId="18" borderId="83" xfId="0" applyNumberFormat="1" applyFont="1" applyFill="1" applyBorder="1" applyAlignment="1">
      <alignment horizontal="center" vertical="center" wrapText="1"/>
    </xf>
    <xf numFmtId="49" fontId="1" fillId="18" borderId="84" xfId="0" applyNumberFormat="1" applyFont="1" applyFill="1" applyBorder="1" applyAlignment="1">
      <alignment horizontal="center" vertical="center" wrapText="1"/>
    </xf>
    <xf numFmtId="1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2" xfId="0" applyFont="1" applyFill="1" applyBorder="1" applyAlignment="1" applyProtection="1">
      <alignment horizontal="center" vertical="center" wrapText="1"/>
      <protection locked="0"/>
    </xf>
    <xf numFmtId="0" fontId="1" fillId="18" borderId="83" xfId="0" applyFont="1" applyFill="1" applyBorder="1" applyAlignment="1" applyProtection="1">
      <alignment horizontal="center" vertical="center" wrapText="1"/>
      <protection locked="0"/>
    </xf>
    <xf numFmtId="0" fontId="1" fillId="18" borderId="84" xfId="0" applyFont="1" applyFill="1" applyBorder="1" applyAlignment="1" applyProtection="1">
      <alignment horizontal="center" vertical="center" wrapText="1"/>
      <protection locked="0"/>
    </xf>
    <xf numFmtId="0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2" xfId="0" applyNumberFormat="1" applyFont="1" applyFill="1" applyBorder="1" applyAlignment="1">
      <alignment horizontal="center" vertical="center" wrapText="1"/>
    </xf>
    <xf numFmtId="4" fontId="1" fillId="18" borderId="83" xfId="0" applyNumberFormat="1" applyFont="1" applyFill="1" applyBorder="1" applyAlignment="1">
      <alignment horizontal="center" vertical="center" wrapText="1"/>
    </xf>
    <xf numFmtId="4" fontId="1" fillId="18" borderId="84" xfId="0" applyNumberFormat="1" applyFont="1" applyFill="1" applyBorder="1" applyAlignment="1">
      <alignment horizontal="center" vertical="center" wrapText="1"/>
    </xf>
    <xf numFmtId="49" fontId="1" fillId="18" borderId="77" xfId="0" applyNumberFormat="1" applyFont="1" applyFill="1" applyBorder="1" applyAlignment="1">
      <alignment horizontal="center" vertical="center" wrapText="1"/>
    </xf>
    <xf numFmtId="1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7" xfId="0" applyFont="1" applyFill="1" applyBorder="1" applyAlignment="1" applyProtection="1">
      <alignment horizontal="center" vertical="center" wrapText="1"/>
      <protection locked="0"/>
    </xf>
    <xf numFmtId="165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7" xfId="0" applyNumberFormat="1" applyFont="1" applyFill="1" applyBorder="1" applyAlignment="1">
      <alignment horizontal="center" vertical="center" wrapText="1"/>
    </xf>
    <xf numFmtId="16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8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9" xfId="0" applyNumberFormat="1" applyFont="1" applyFill="1" applyBorder="1" applyAlignment="1">
      <alignment horizontal="center" vertical="center" wrapText="1"/>
    </xf>
    <xf numFmtId="49" fontId="1" fillId="18" borderId="72" xfId="0" applyNumberFormat="1" applyFont="1" applyFill="1" applyBorder="1" applyAlignment="1">
      <alignment horizontal="center" vertical="center" wrapText="1"/>
    </xf>
    <xf numFmtId="1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71" xfId="0" applyFont="1" applyFill="1" applyBorder="1" applyAlignment="1" applyProtection="1">
      <alignment horizontal="center" vertical="center" wrapText="1"/>
      <protection locked="0"/>
    </xf>
    <xf numFmtId="0" fontId="1" fillId="18" borderId="74" xfId="0" applyFont="1" applyFill="1" applyBorder="1" applyAlignment="1" applyProtection="1">
      <alignment horizontal="center" vertical="center" wrapText="1"/>
      <protection locked="0"/>
    </xf>
    <xf numFmtId="165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70" xfId="0" applyNumberFormat="1" applyFont="1" applyFill="1" applyBorder="1" applyAlignment="1">
      <alignment horizontal="center" vertical="center" wrapText="1"/>
    </xf>
    <xf numFmtId="4" fontId="1" fillId="18" borderId="73" xfId="0" applyNumberFormat="1" applyFont="1" applyFill="1" applyBorder="1" applyAlignment="1">
      <alignment horizontal="center" vertical="center" wrapText="1"/>
    </xf>
    <xf numFmtId="16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7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6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6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2" xfId="0" applyNumberFormat="1" applyFont="1" applyFill="1" applyBorder="1" applyAlignment="1">
      <alignment horizontal="center" vertical="center" wrapText="1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>
      <alignment horizontal="center" vertical="center" wrapText="1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4" xfId="0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>
      <alignment horizontal="center" vertical="center" wrapText="1"/>
    </xf>
    <xf numFmtId="4" fontId="1" fillId="18" borderId="44" xfId="0" applyNumberFormat="1" applyFont="1" applyFill="1" applyBorder="1" applyAlignment="1">
      <alignment horizontal="center" vertical="center" wrapText="1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6" xfId="0" applyNumberFormat="1" applyFont="1" applyFill="1" applyBorder="1" applyAlignment="1">
      <alignment horizontal="center" vertical="center" wrapText="1"/>
    </xf>
    <xf numFmtId="1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0" xfId="0" applyFont="1" applyFill="1" applyBorder="1" applyAlignment="1" applyProtection="1">
      <alignment horizontal="center" vertical="center" wrapText="1"/>
      <protection locked="0"/>
    </xf>
    <xf numFmtId="0" fontId="1" fillId="18" borderId="63" xfId="0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62" xfId="0" applyNumberFormat="1" applyFont="1" applyFill="1" applyBorder="1" applyAlignment="1">
      <alignment horizontal="center" vertical="center" wrapText="1"/>
    </xf>
    <xf numFmtId="1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6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5" xfId="0" applyNumberFormat="1" applyFont="1" applyFill="1" applyBorder="1" applyAlignment="1">
      <alignment horizontal="center" vertical="center" wrapText="1"/>
    </xf>
    <xf numFmtId="49" fontId="1" fillId="18" borderId="88" xfId="0" applyNumberFormat="1" applyFont="1" applyFill="1" applyBorder="1" applyAlignment="1">
      <alignment horizontal="center" vertical="center" wrapText="1"/>
    </xf>
    <xf numFmtId="49" fontId="1" fillId="18" borderId="91" xfId="0" applyNumberFormat="1" applyFont="1" applyFill="1" applyBorder="1" applyAlignment="1">
      <alignment horizontal="center" vertical="center" wrapText="1"/>
    </xf>
    <xf numFmtId="49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86" xfId="0" applyNumberFormat="1" applyFont="1" applyFill="1" applyBorder="1" applyAlignment="1">
      <alignment horizontal="center" vertical="center" wrapText="1"/>
    </xf>
    <xf numFmtId="4" fontId="1" fillId="18" borderId="89" xfId="0" applyNumberFormat="1" applyFont="1" applyFill="1" applyBorder="1" applyAlignment="1">
      <alignment horizontal="center" vertical="center" wrapText="1"/>
    </xf>
    <xf numFmtId="4" fontId="1" fillId="18" borderId="92" xfId="0" applyNumberFormat="1" applyFont="1" applyFill="1" applyBorder="1" applyAlignment="1">
      <alignment horizontal="center" vertical="center" wrapText="1"/>
    </xf>
    <xf numFmtId="49" fontId="1" fillId="18" borderId="8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9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6" fillId="18" borderId="86" xfId="0" applyFont="1" applyFill="1" applyBorder="1" applyAlignment="1" applyProtection="1">
      <alignment vertical="center"/>
      <protection locked="0"/>
    </xf>
    <xf numFmtId="0" fontId="16" fillId="18" borderId="89" xfId="0" applyFont="1" applyFill="1" applyBorder="1" applyAlignment="1" applyProtection="1">
      <alignment vertical="center"/>
      <protection locked="0"/>
    </xf>
    <xf numFmtId="0" fontId="16" fillId="18" borderId="92" xfId="0" applyFont="1" applyFill="1" applyBorder="1" applyAlignment="1" applyProtection="1">
      <alignment vertical="center"/>
      <protection locked="0"/>
    </xf>
    <xf numFmtId="0" fontId="17" fillId="18" borderId="86" xfId="0" applyFont="1" applyFill="1" applyBorder="1" applyAlignment="1" applyProtection="1">
      <alignment vertical="center" wrapText="1"/>
      <protection locked="0"/>
    </xf>
    <xf numFmtId="0" fontId="17" fillId="18" borderId="89" xfId="0" applyFont="1" applyFill="1" applyBorder="1" applyAlignment="1" applyProtection="1">
      <alignment vertical="center" wrapText="1"/>
      <protection locked="0"/>
    </xf>
    <xf numFmtId="0" fontId="17" fillId="18" borderId="92" xfId="0" applyFont="1" applyFill="1" applyBorder="1" applyAlignment="1" applyProtection="1">
      <alignment vertical="center" wrapText="1"/>
      <protection locked="0"/>
    </xf>
    <xf numFmtId="0" fontId="16" fillId="0" borderId="86" xfId="0" applyFont="1" applyBorder="1" applyAlignment="1" applyProtection="1">
      <alignment vertical="center"/>
      <protection locked="0"/>
    </xf>
    <xf numFmtId="0" fontId="16" fillId="0" borderId="89" xfId="0" applyFont="1" applyBorder="1" applyAlignment="1" applyProtection="1">
      <alignment vertical="center"/>
      <protection locked="0"/>
    </xf>
    <xf numFmtId="0" fontId="16" fillId="0" borderId="92" xfId="0" applyFont="1" applyBorder="1" applyAlignment="1" applyProtection="1">
      <alignment vertical="center"/>
      <protection locked="0"/>
    </xf>
    <xf numFmtId="0" fontId="17" fillId="4" borderId="86" xfId="0" applyFont="1" applyFill="1" applyBorder="1" applyAlignment="1" applyProtection="1">
      <alignment vertical="center" wrapText="1"/>
      <protection locked="0"/>
    </xf>
    <xf numFmtId="0" fontId="17" fillId="4" borderId="89" xfId="0" applyFont="1" applyFill="1" applyBorder="1" applyAlignment="1" applyProtection="1">
      <alignment vertical="center" wrapText="1"/>
      <protection locked="0"/>
    </xf>
    <xf numFmtId="0" fontId="17" fillId="4" borderId="92" xfId="0" applyFont="1" applyFill="1" applyBorder="1" applyAlignment="1" applyProtection="1">
      <alignment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50" xfId="0" applyFont="1" applyFill="1" applyBorder="1" applyAlignment="1" applyProtection="1">
      <alignment horizontal="center" vertical="center" wrapText="1"/>
      <protection locked="0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4" fontId="1" fillId="18" borderId="52" xfId="0" applyNumberFormat="1" applyFont="1" applyFill="1" applyBorder="1" applyAlignment="1">
      <alignment horizontal="center" vertical="center" wrapText="1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5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8" borderId="87" xfId="0" applyFont="1" applyFill="1" applyBorder="1" applyAlignment="1" applyProtection="1">
      <alignment horizontal="center" vertical="center" wrapText="1"/>
      <protection locked="0"/>
    </xf>
    <xf numFmtId="0" fontId="1" fillId="18" borderId="90" xfId="0" applyFont="1" applyFill="1" applyBorder="1" applyAlignment="1" applyProtection="1">
      <alignment horizontal="center" vertical="center" wrapText="1"/>
      <protection locked="0"/>
    </xf>
    <xf numFmtId="0" fontId="1" fillId="18" borderId="93" xfId="0" applyFont="1" applyFill="1" applyBorder="1" applyAlignment="1" applyProtection="1">
      <alignment horizontal="center" vertical="center" wrapText="1"/>
      <protection locked="0"/>
    </xf>
    <xf numFmtId="1" fontId="1" fillId="18" borderId="8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89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92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/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/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/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6583</xdr:rowOff>
    </xdr:to>
    <xdr:sp macro="[0]!УдалитьСтрокуП4" textlink="">
      <xdr:nvSpPr>
        <xdr:cNvPr id="5" name="Скругленный прямоугольник 4"/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349826</xdr:colOff>
      <xdr:row>3</xdr:row>
      <xdr:rowOff>6924</xdr:rowOff>
    </xdr:from>
    <xdr:to>
      <xdr:col>13</xdr:col>
      <xdr:colOff>1080626</xdr:colOff>
      <xdr:row>4</xdr:row>
      <xdr:rowOff>657</xdr:rowOff>
    </xdr:to>
    <xdr:sp macro="[0]!УдалитьСтрокуП5" textlink="">
      <xdr:nvSpPr>
        <xdr:cNvPr id="3" name="Скругленный прямоугольник 2"/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1420928</xdr:colOff>
      <xdr:row>3</xdr:row>
      <xdr:rowOff>484950</xdr:rowOff>
    </xdr:to>
    <xdr:sp macro="[0]!ДобавитьКонтрактП5" textlink="">
      <xdr:nvSpPr>
        <xdr:cNvPr id="4" name="Скругленный прямоугольник 3"/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2346612</xdr:colOff>
      <xdr:row>3</xdr:row>
      <xdr:rowOff>0</xdr:rowOff>
    </xdr:from>
    <xdr:to>
      <xdr:col>18</xdr:col>
      <xdr:colOff>619962</xdr:colOff>
      <xdr:row>4</xdr:row>
      <xdr:rowOff>792</xdr:rowOff>
    </xdr:to>
    <xdr:sp macro="[0]!ДобавитьППАктП5" textlink="">
      <xdr:nvSpPr>
        <xdr:cNvPr id="5" name="Скругленный прямоугольник 4"/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4</xdr:row>
      <xdr:rowOff>874</xdr:rowOff>
    </xdr:to>
    <xdr:sp macro="[0]!ДобавитьКонтрактSt93" textlink="">
      <xdr:nvSpPr>
        <xdr:cNvPr id="2" name="Скругленный прямоугольник 1"/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/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4</xdr:row>
      <xdr:rowOff>873</xdr:rowOff>
    </xdr:to>
    <xdr:sp macro="[0]!УдалитьСтрокуSt93" textlink="">
      <xdr:nvSpPr>
        <xdr:cNvPr id="6" name="Скругленный прямоугольник 5"/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/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/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/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4</xdr:row>
      <xdr:rowOff>1080</xdr:rowOff>
    </xdr:to>
    <xdr:sp macro="[0]!ДобавитьКонтрактNEA" textlink="">
      <xdr:nvSpPr>
        <xdr:cNvPr id="2" name="Скругленный прямоугольник 1"/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4</xdr:row>
      <xdr:rowOff>1080</xdr:rowOff>
    </xdr:to>
    <xdr:sp macro="[0]!УдалитьСтрокуNEA" textlink="">
      <xdr:nvSpPr>
        <xdr:cNvPr id="5" name="Скругленный прямоугольник 4"/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/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/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16</xdr:col>
      <xdr:colOff>64050</xdr:colOff>
      <xdr:row>4</xdr:row>
      <xdr:rowOff>0</xdr:rowOff>
    </xdr:to>
    <xdr:sp macro="[0]!УдалитьСтрокуIKZ" textlink="">
      <xdr:nvSpPr>
        <xdr:cNvPr id="3" name="Скругленный прямоугольник 2"/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1136100</xdr:colOff>
      <xdr:row>3</xdr:row>
      <xdr:rowOff>10350</xdr:rowOff>
    </xdr:from>
    <xdr:to>
      <xdr:col>22</xdr:col>
      <xdr:colOff>1219200</xdr:colOff>
      <xdr:row>4</xdr:row>
      <xdr:rowOff>0</xdr:rowOff>
    </xdr:to>
    <xdr:sp macro="[0]!ДобавитьППАктIKZ" textlink="">
      <xdr:nvSpPr>
        <xdr:cNvPr id="4" name="Скругленный прямоугольник 3"/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topLeftCell="A7" zoomScale="70" zoomScaleNormal="70" workbookViewId="0">
      <selection activeCell="M9" sqref="M9:N9"/>
    </sheetView>
  </sheetViews>
  <sheetFormatPr defaultColWidth="0" defaultRowHeight="14.4" x14ac:dyDescent="0.3"/>
  <cols>
    <col min="1" max="2" width="9.109375" style="9" customWidth="1"/>
    <col min="3" max="3" width="25.33203125" style="9" customWidth="1"/>
    <col min="4" max="5" width="9.109375" style="9" customWidth="1"/>
    <col min="6" max="6" width="11.6640625" style="9" customWidth="1"/>
    <col min="7" max="7" width="19" style="9" customWidth="1"/>
    <col min="8" max="8" width="6.5546875" style="9" customWidth="1"/>
    <col min="9" max="9" width="5.5546875" style="9" customWidth="1"/>
    <col min="10" max="10" width="15" style="9" customWidth="1"/>
    <col min="11" max="11" width="14.88671875" style="9" customWidth="1"/>
    <col min="12" max="12" width="21.33203125" style="9" customWidth="1"/>
    <col min="13" max="13" width="10.109375" style="9" customWidth="1"/>
    <col min="14" max="14" width="17.109375" style="9" bestFit="1" customWidth="1"/>
    <col min="15" max="22" width="9.109375" style="9" hidden="1" customWidth="1"/>
    <col min="23" max="23" width="30.6640625" style="9" hidden="1" customWidth="1"/>
    <col min="24" max="16384" width="9.109375" style="9" hidden="1"/>
  </cols>
  <sheetData>
    <row r="1" spans="1:14" ht="27" customHeight="1" thickBot="1" x14ac:dyDescent="0.35">
      <c r="A1" s="434" t="s">
        <v>141</v>
      </c>
      <c r="B1" s="435"/>
      <c r="C1" s="435"/>
      <c r="D1" s="435"/>
      <c r="E1" s="434" t="s">
        <v>160</v>
      </c>
      <c r="F1" s="435"/>
      <c r="G1" s="435"/>
      <c r="H1" s="435"/>
      <c r="I1" s="435"/>
      <c r="J1" s="435"/>
      <c r="K1" s="435"/>
      <c r="L1" s="435"/>
      <c r="M1" s="435"/>
      <c r="N1" s="436"/>
    </row>
    <row r="3" spans="1:14" ht="15" thickBot="1" x14ac:dyDescent="0.35">
      <c r="I3" s="21"/>
      <c r="J3" s="21"/>
      <c r="K3" s="21"/>
      <c r="L3" s="21"/>
      <c r="M3" s="21"/>
      <c r="N3" s="21"/>
    </row>
    <row r="4" spans="1:14" ht="32.25" customHeight="1" thickBot="1" x14ac:dyDescent="0.35">
      <c r="A4" s="470" t="s">
        <v>25</v>
      </c>
      <c r="B4" s="471"/>
      <c r="C4" s="4">
        <v>13284300.449999999</v>
      </c>
      <c r="D4" s="5"/>
      <c r="E4" s="472" t="s">
        <v>140</v>
      </c>
      <c r="F4" s="473"/>
      <c r="G4" s="474"/>
      <c r="H4" s="475">
        <v>1053942.2</v>
      </c>
      <c r="I4" s="476"/>
      <c r="J4" s="477"/>
      <c r="K4" s="22"/>
      <c r="L4" s="99" t="s">
        <v>55</v>
      </c>
      <c r="M4" s="472">
        <v>7624713.4400000004</v>
      </c>
      <c r="N4" s="474"/>
    </row>
    <row r="5" spans="1:14" ht="30.75" customHeight="1" thickBot="1" x14ac:dyDescent="0.35">
      <c r="A5" s="470" t="s">
        <v>26</v>
      </c>
      <c r="B5" s="471"/>
      <c r="C5" s="6">
        <f>C4-G15+J15</f>
        <v>1704264.7299999986</v>
      </c>
      <c r="D5" s="5"/>
      <c r="E5" s="472" t="s">
        <v>53</v>
      </c>
      <c r="F5" s="473"/>
      <c r="G5" s="474"/>
      <c r="H5" s="465">
        <f>H4-G12</f>
        <v>5605.7900000000373</v>
      </c>
      <c r="I5" s="466"/>
      <c r="J5" s="467"/>
      <c r="K5" s="22"/>
      <c r="L5" s="99" t="s">
        <v>54</v>
      </c>
      <c r="M5" s="468">
        <f>M4-G13</f>
        <v>3019104.6000000006</v>
      </c>
      <c r="N5" s="469"/>
    </row>
    <row r="6" spans="1:14" x14ac:dyDescent="0.3">
      <c r="C6" s="7"/>
      <c r="D6" s="10"/>
      <c r="E6" s="10"/>
      <c r="F6" s="10"/>
      <c r="G6" s="10"/>
      <c r="H6" s="10"/>
      <c r="I6" s="10"/>
      <c r="J6" s="10"/>
      <c r="K6" s="10"/>
      <c r="L6" s="10"/>
    </row>
    <row r="7" spans="1:14" ht="15" thickBot="1" x14ac:dyDescent="0.35"/>
    <row r="8" spans="1:14" ht="72" customHeight="1" thickBot="1" x14ac:dyDescent="0.35">
      <c r="A8" s="478" t="s">
        <v>27</v>
      </c>
      <c r="B8" s="479"/>
      <c r="C8" s="480"/>
      <c r="D8" s="478" t="s">
        <v>28</v>
      </c>
      <c r="E8" s="479"/>
      <c r="F8" s="480"/>
      <c r="G8" s="481" t="s">
        <v>29</v>
      </c>
      <c r="H8" s="482"/>
      <c r="I8" s="483"/>
      <c r="J8" s="481" t="s">
        <v>142</v>
      </c>
      <c r="K8" s="482"/>
      <c r="L8" s="483"/>
      <c r="M8" s="478" t="s">
        <v>30</v>
      </c>
      <c r="N8" s="480"/>
    </row>
    <row r="9" spans="1:14" ht="41.25" customHeight="1" thickBot="1" x14ac:dyDescent="0.35">
      <c r="A9" s="456" t="s">
        <v>31</v>
      </c>
      <c r="B9" s="457"/>
      <c r="C9" s="458"/>
      <c r="D9" s="455">
        <f>'Состоявшиеся аукционы'!G2</f>
        <v>1806282</v>
      </c>
      <c r="E9" s="455"/>
      <c r="F9" s="455"/>
      <c r="G9" s="455">
        <f>'Состоявшиеся аукционы'!Q2</f>
        <v>1739602.8</v>
      </c>
      <c r="H9" s="455"/>
      <c r="I9" s="455"/>
      <c r="J9" s="452">
        <f>'Состоявшиеся аукционы'!AB2</f>
        <v>0</v>
      </c>
      <c r="K9" s="453"/>
      <c r="L9" s="454"/>
      <c r="M9" s="455">
        <f t="shared" ref="M9:M15" si="0">D9-G9</f>
        <v>66679.199999999953</v>
      </c>
      <c r="N9" s="455"/>
    </row>
    <row r="10" spans="1:14" ht="78.75" customHeight="1" thickBot="1" x14ac:dyDescent="0.35">
      <c r="A10" s="456" t="s">
        <v>49</v>
      </c>
      <c r="B10" s="457"/>
      <c r="C10" s="458"/>
      <c r="D10" s="455">
        <f>'Несостоявшиеся аукционы'!G2</f>
        <v>1599844.19</v>
      </c>
      <c r="E10" s="455"/>
      <c r="F10" s="455"/>
      <c r="G10" s="455">
        <f>'Несостоявшиеся аукционы'!Q2</f>
        <v>1599844.19</v>
      </c>
      <c r="H10" s="455"/>
      <c r="I10" s="455"/>
      <c r="J10" s="452">
        <f>'Несостоявшиеся аукционы'!AB2</f>
        <v>187011.6</v>
      </c>
      <c r="K10" s="453"/>
      <c r="L10" s="454"/>
      <c r="M10" s="455">
        <f t="shared" si="0"/>
        <v>0</v>
      </c>
      <c r="N10" s="455"/>
    </row>
    <row r="11" spans="1:14" ht="40.5" customHeight="1" thickBot="1" x14ac:dyDescent="0.35">
      <c r="A11" s="456" t="s">
        <v>83</v>
      </c>
      <c r="B11" s="457"/>
      <c r="C11" s="458"/>
      <c r="D11" s="452">
        <f>'Иные конкурентные закупки'!G2</f>
        <v>1098720</v>
      </c>
      <c r="E11" s="453"/>
      <c r="F11" s="454"/>
      <c r="G11" s="452">
        <f>'Иные конкурентные закупки'!Q2</f>
        <v>994080</v>
      </c>
      <c r="H11" s="453"/>
      <c r="I11" s="454"/>
      <c r="J11" s="452">
        <f>'Иные конкурентные закупки'!AB2</f>
        <v>0</v>
      </c>
      <c r="K11" s="453"/>
      <c r="L11" s="454"/>
      <c r="M11" s="452">
        <f t="shared" si="0"/>
        <v>104640</v>
      </c>
      <c r="N11" s="454"/>
    </row>
    <row r="12" spans="1:14" ht="54.75" customHeight="1" thickBot="1" x14ac:dyDescent="0.35">
      <c r="A12" s="459" t="s">
        <v>50</v>
      </c>
      <c r="B12" s="460"/>
      <c r="C12" s="461"/>
      <c r="D12" s="455">
        <f>'Ед. поставщик п.4 ч.1'!H2</f>
        <v>1048336.4099999999</v>
      </c>
      <c r="E12" s="455"/>
      <c r="F12" s="455"/>
      <c r="G12" s="455">
        <f>D12</f>
        <v>1048336.4099999999</v>
      </c>
      <c r="H12" s="455"/>
      <c r="I12" s="455"/>
      <c r="J12" s="452">
        <f>'Ед. поставщик п.4 ч.1'!V2</f>
        <v>0</v>
      </c>
      <c r="K12" s="453"/>
      <c r="L12" s="454"/>
      <c r="M12" s="455">
        <f t="shared" si="0"/>
        <v>0</v>
      </c>
      <c r="N12" s="455"/>
    </row>
    <row r="13" spans="1:14" ht="45.75" customHeight="1" thickBot="1" x14ac:dyDescent="0.35">
      <c r="A13" s="459" t="s">
        <v>51</v>
      </c>
      <c r="B13" s="460"/>
      <c r="C13" s="461"/>
      <c r="D13" s="455">
        <f>'Ед. поставщик п.5 ч.1'!H2</f>
        <v>4605608.84</v>
      </c>
      <c r="E13" s="455"/>
      <c r="F13" s="455"/>
      <c r="G13" s="455">
        <f>D13</f>
        <v>4605608.84</v>
      </c>
      <c r="H13" s="455"/>
      <c r="I13" s="455"/>
      <c r="J13" s="452">
        <f>'Ед. поставщик п.5 ч.1'!V2</f>
        <v>560778.49</v>
      </c>
      <c r="K13" s="453"/>
      <c r="L13" s="454"/>
      <c r="M13" s="455">
        <f t="shared" si="0"/>
        <v>0</v>
      </c>
      <c r="N13" s="455"/>
    </row>
    <row r="14" spans="1:14" ht="45.75" customHeight="1" thickBot="1" x14ac:dyDescent="0.35">
      <c r="A14" s="449" t="s">
        <v>52</v>
      </c>
      <c r="B14" s="450"/>
      <c r="C14" s="451"/>
      <c r="D14" s="452">
        <f>'Ед.поставщик за искл. п.4,5 ч.1'!G2</f>
        <v>2340353.5699999998</v>
      </c>
      <c r="E14" s="453"/>
      <c r="F14" s="454"/>
      <c r="G14" s="452">
        <f>D14</f>
        <v>2340353.5699999998</v>
      </c>
      <c r="H14" s="453"/>
      <c r="I14" s="454"/>
      <c r="J14" s="452">
        <f>'Ед.поставщик за искл. п.4,5 ч.1'!T2</f>
        <v>0</v>
      </c>
      <c r="K14" s="453"/>
      <c r="L14" s="454"/>
      <c r="M14" s="455">
        <f t="shared" si="0"/>
        <v>0</v>
      </c>
      <c r="N14" s="455"/>
    </row>
    <row r="15" spans="1:14" ht="21.6" thickBot="1" x14ac:dyDescent="0.35">
      <c r="A15" s="462" t="s">
        <v>143</v>
      </c>
      <c r="B15" s="463"/>
      <c r="C15" s="464"/>
      <c r="D15" s="455">
        <f>SUM(D9:D14)</f>
        <v>12499145.01</v>
      </c>
      <c r="E15" s="455"/>
      <c r="F15" s="455"/>
      <c r="G15" s="452">
        <f>SUM(G9:G14)</f>
        <v>12327825.810000001</v>
      </c>
      <c r="H15" s="453"/>
      <c r="I15" s="454"/>
      <c r="J15" s="452">
        <f>SUM(J9:J14)</f>
        <v>747790.09</v>
      </c>
      <c r="K15" s="453"/>
      <c r="L15" s="454"/>
      <c r="M15" s="455">
        <f t="shared" si="0"/>
        <v>171319.19999999925</v>
      </c>
      <c r="N15" s="455"/>
    </row>
    <row r="17" spans="1:12" x14ac:dyDescent="0.3">
      <c r="K17" s="122"/>
    </row>
    <row r="18" spans="1:12" ht="15" thickBot="1" x14ac:dyDescent="0.35">
      <c r="K18" s="122"/>
    </row>
    <row r="19" spans="1:12" ht="23.25" customHeight="1" x14ac:dyDescent="0.3">
      <c r="A19" s="437" t="s">
        <v>35</v>
      </c>
      <c r="B19" s="438"/>
      <c r="C19" s="439"/>
      <c r="D19" s="443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8090569.0700000012</v>
      </c>
      <c r="E19" s="444"/>
      <c r="F19" s="444"/>
      <c r="G19" s="445"/>
      <c r="I19" s="20"/>
      <c r="J19" s="20"/>
      <c r="K19" s="20"/>
      <c r="L19" s="20"/>
    </row>
    <row r="20" spans="1:12" ht="24" customHeight="1" thickBot="1" x14ac:dyDescent="0.35">
      <c r="A20" s="440"/>
      <c r="B20" s="441"/>
      <c r="C20" s="442"/>
      <c r="D20" s="446"/>
      <c r="E20" s="447"/>
      <c r="F20" s="447"/>
      <c r="G20" s="448"/>
      <c r="I20" s="20"/>
      <c r="J20" s="20"/>
      <c r="K20" s="20"/>
      <c r="L20" s="20"/>
    </row>
  </sheetData>
  <mergeCells count="52"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</sheetPr>
  <dimension ref="A1:X74"/>
  <sheetViews>
    <sheetView showGridLines="0" topLeftCell="H1" zoomScale="50" zoomScaleNormal="50" workbookViewId="0">
      <pane ySplit="8" topLeftCell="A9" activePane="bottomLeft" state="frozen"/>
      <selection activeCell="I1" sqref="I1"/>
      <selection pane="bottomLeft" activeCell="Q16" sqref="Q16"/>
    </sheetView>
  </sheetViews>
  <sheetFormatPr defaultColWidth="0" defaultRowHeight="18" x14ac:dyDescent="0.3"/>
  <cols>
    <col min="1" max="1" width="9.109375" style="3" customWidth="1"/>
    <col min="2" max="3" width="35" style="3" customWidth="1"/>
    <col min="4" max="4" width="32.88671875" style="3" customWidth="1"/>
    <col min="5" max="5" width="23.33203125" style="12" customWidth="1"/>
    <col min="6" max="6" width="27.5546875" style="3" customWidth="1"/>
    <col min="7" max="7" width="49.109375" style="3" customWidth="1"/>
    <col min="8" max="8" width="26.88671875" style="11" customWidth="1"/>
    <col min="9" max="9" width="21.88671875" style="11" customWidth="1"/>
    <col min="10" max="10" width="33.5546875" style="3" customWidth="1"/>
    <col min="11" max="12" width="28.33203125" style="3" customWidth="1"/>
    <col min="13" max="13" width="34.88671875" style="3" customWidth="1"/>
    <col min="14" max="14" width="28.88671875" style="12" customWidth="1"/>
    <col min="15" max="15" width="28.88671875" style="3" customWidth="1"/>
    <col min="16" max="16" width="24" style="32" customWidth="1"/>
    <col min="17" max="17" width="24" style="12" bestFit="1" customWidth="1"/>
    <col min="18" max="18" width="23.44140625" style="8" customWidth="1"/>
    <col min="19" max="20" width="23.6640625" style="8" customWidth="1"/>
    <col min="21" max="21" width="24.5546875" style="12" customWidth="1"/>
    <col min="22" max="22" width="25.5546875" style="32" customWidth="1"/>
    <col min="23" max="23" width="17.664062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A2" s="86"/>
      <c r="B2" s="86"/>
      <c r="C2" s="86"/>
      <c r="D2" s="86"/>
      <c r="E2" s="86"/>
      <c r="F2" s="43"/>
      <c r="G2" s="101" t="s">
        <v>24</v>
      </c>
      <c r="H2" s="98">
        <f>SUM(H9:H10000)</f>
        <v>1048336.4099999999</v>
      </c>
      <c r="K2" s="545"/>
      <c r="L2" s="545"/>
      <c r="M2" s="545"/>
      <c r="N2" s="546" t="s">
        <v>137</v>
      </c>
      <c r="O2" s="548"/>
      <c r="P2" s="87">
        <f>SUM(P9:P10000)</f>
        <v>1029285.1599999999</v>
      </c>
      <c r="R2" s="86"/>
      <c r="S2" s="546" t="s">
        <v>45</v>
      </c>
      <c r="T2" s="547"/>
      <c r="U2" s="548"/>
      <c r="V2" s="88">
        <f>SUM(V9:V10000)</f>
        <v>0</v>
      </c>
    </row>
    <row r="3" spans="1:24" x14ac:dyDescent="0.3">
      <c r="A3" s="545"/>
      <c r="B3" s="545"/>
      <c r="C3" s="545"/>
      <c r="D3" s="545"/>
      <c r="E3" s="545"/>
      <c r="F3" s="45"/>
      <c r="N3" s="86"/>
    </row>
    <row r="4" spans="1:24" ht="39.9" customHeight="1" x14ac:dyDescent="0.3">
      <c r="A4" s="14"/>
      <c r="B4" s="14"/>
      <c r="C4" s="14"/>
      <c r="D4" s="14"/>
      <c r="E4" s="29"/>
      <c r="F4" s="14"/>
      <c r="J4" s="549"/>
      <c r="K4" s="549"/>
      <c r="M4" s="549"/>
      <c r="N4" s="549"/>
      <c r="O4" s="549"/>
      <c r="P4" s="549"/>
    </row>
    <row r="5" spans="1:24" x14ac:dyDescent="0.3">
      <c r="A5" s="14"/>
      <c r="B5" s="14"/>
      <c r="C5" s="14"/>
      <c r="D5" s="14"/>
      <c r="E5" s="29"/>
      <c r="F5" s="14"/>
      <c r="G5" s="14"/>
      <c r="H5" s="15"/>
    </row>
    <row r="6" spans="1:24" ht="91.2" customHeight="1" x14ac:dyDescent="0.3">
      <c r="A6" s="69" t="s">
        <v>8</v>
      </c>
      <c r="B6" s="69" t="s">
        <v>47</v>
      </c>
      <c r="C6" s="69" t="s">
        <v>145</v>
      </c>
      <c r="D6" s="69" t="s">
        <v>10</v>
      </c>
      <c r="E6" s="68" t="s">
        <v>1</v>
      </c>
      <c r="F6" s="69" t="s">
        <v>2</v>
      </c>
      <c r="G6" s="69" t="s">
        <v>3</v>
      </c>
      <c r="H6" s="71" t="s">
        <v>4</v>
      </c>
      <c r="I6" s="71" t="s">
        <v>22</v>
      </c>
      <c r="J6" s="69" t="s">
        <v>46</v>
      </c>
      <c r="K6" s="69" t="s">
        <v>5</v>
      </c>
      <c r="L6" s="69" t="s">
        <v>82</v>
      </c>
      <c r="M6" s="69" t="s">
        <v>44</v>
      </c>
      <c r="N6" s="68" t="s">
        <v>7</v>
      </c>
      <c r="O6" s="69" t="s">
        <v>6</v>
      </c>
      <c r="P6" s="70" t="s">
        <v>23</v>
      </c>
      <c r="Q6" s="68" t="s">
        <v>9</v>
      </c>
      <c r="R6" s="67" t="s">
        <v>40</v>
      </c>
      <c r="S6" s="67" t="s">
        <v>103</v>
      </c>
      <c r="T6" s="67" t="s">
        <v>104</v>
      </c>
      <c r="U6" s="68" t="s">
        <v>41</v>
      </c>
      <c r="V6" s="70" t="s">
        <v>105</v>
      </c>
      <c r="W6" s="67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9" customFormat="1" ht="90" hidden="1" x14ac:dyDescent="0.3">
      <c r="A8" s="72">
        <v>1</v>
      </c>
      <c r="B8" s="72" t="s">
        <v>56</v>
      </c>
      <c r="C8" s="72"/>
      <c r="D8" s="72" t="s">
        <v>58</v>
      </c>
      <c r="E8" s="73" t="s">
        <v>57</v>
      </c>
      <c r="F8" s="73" t="s">
        <v>107</v>
      </c>
      <c r="G8" s="72" t="s">
        <v>59</v>
      </c>
      <c r="H8" s="79">
        <v>20000</v>
      </c>
      <c r="I8" s="79">
        <f>H8-P8</f>
        <v>0</v>
      </c>
      <c r="J8" s="72" t="s">
        <v>60</v>
      </c>
      <c r="K8" s="72" t="s">
        <v>61</v>
      </c>
      <c r="L8" s="72"/>
      <c r="M8" s="72" t="s">
        <v>62</v>
      </c>
      <c r="N8" s="73">
        <v>43840</v>
      </c>
      <c r="O8" s="72" t="s">
        <v>144</v>
      </c>
      <c r="P8" s="103">
        <v>20000</v>
      </c>
      <c r="Q8" s="73">
        <v>43840</v>
      </c>
      <c r="R8" s="72"/>
      <c r="S8" s="79"/>
      <c r="T8" s="79"/>
      <c r="U8" s="73"/>
      <c r="V8" s="79"/>
      <c r="W8" s="75" t="s">
        <v>64</v>
      </c>
    </row>
    <row r="9" spans="1:24" s="105" customFormat="1" ht="144" customHeight="1" x14ac:dyDescent="0.3">
      <c r="A9" s="580">
        <v>1</v>
      </c>
      <c r="B9" s="589" t="s">
        <v>56</v>
      </c>
      <c r="C9" s="589" t="s">
        <v>146</v>
      </c>
      <c r="D9" s="589" t="s">
        <v>147</v>
      </c>
      <c r="E9" s="598" t="s">
        <v>211</v>
      </c>
      <c r="F9" s="583">
        <v>45680</v>
      </c>
      <c r="G9" s="589" t="s">
        <v>212</v>
      </c>
      <c r="H9" s="586">
        <v>15000</v>
      </c>
      <c r="I9" s="601">
        <f>IF(X9 = 23, H9 + SUM(S9:S16) - SUM(T9:T16) - SUM(P9:P16) - V9,0)</f>
        <v>11880</v>
      </c>
      <c r="J9" s="589" t="s">
        <v>213</v>
      </c>
      <c r="K9" s="589" t="s">
        <v>214</v>
      </c>
      <c r="L9" s="589" t="s">
        <v>146</v>
      </c>
      <c r="M9" s="589"/>
      <c r="N9" s="420">
        <v>45688</v>
      </c>
      <c r="O9" s="583" t="s">
        <v>183</v>
      </c>
      <c r="P9" s="411">
        <v>390</v>
      </c>
      <c r="Q9" s="412">
        <v>45706</v>
      </c>
      <c r="R9" s="413"/>
      <c r="S9" s="411"/>
      <c r="T9" s="411"/>
      <c r="U9" s="586"/>
      <c r="V9" s="592"/>
      <c r="W9" s="595"/>
      <c r="X9" s="105">
        <v>23</v>
      </c>
    </row>
    <row r="10" spans="1:24" s="152" customFormat="1" x14ac:dyDescent="0.3">
      <c r="A10" s="581"/>
      <c r="B10" s="590"/>
      <c r="C10" s="590"/>
      <c r="D10" s="590"/>
      <c r="E10" s="599"/>
      <c r="F10" s="584"/>
      <c r="G10" s="590"/>
      <c r="H10" s="587"/>
      <c r="I10" s="602"/>
      <c r="J10" s="590"/>
      <c r="K10" s="590"/>
      <c r="L10" s="590"/>
      <c r="M10" s="590"/>
      <c r="N10" s="421">
        <v>45716</v>
      </c>
      <c r="O10" s="584"/>
      <c r="P10" s="414">
        <v>390</v>
      </c>
      <c r="Q10" s="415">
        <v>45729</v>
      </c>
      <c r="R10" s="416"/>
      <c r="S10" s="414"/>
      <c r="T10" s="414"/>
      <c r="U10" s="587"/>
      <c r="V10" s="593"/>
      <c r="W10" s="596"/>
      <c r="X10" s="152">
        <v>23</v>
      </c>
    </row>
    <row r="11" spans="1:24" s="190" customFormat="1" x14ac:dyDescent="0.3">
      <c r="A11" s="581"/>
      <c r="B11" s="590"/>
      <c r="C11" s="590"/>
      <c r="D11" s="590"/>
      <c r="E11" s="599"/>
      <c r="F11" s="584"/>
      <c r="G11" s="590"/>
      <c r="H11" s="587"/>
      <c r="I11" s="602"/>
      <c r="J11" s="590"/>
      <c r="K11" s="590"/>
      <c r="L11" s="590"/>
      <c r="M11" s="590"/>
      <c r="N11" s="421">
        <v>45747</v>
      </c>
      <c r="O11" s="584"/>
      <c r="P11" s="414">
        <v>390</v>
      </c>
      <c r="Q11" s="415">
        <v>45757</v>
      </c>
      <c r="R11" s="416"/>
      <c r="S11" s="414"/>
      <c r="T11" s="414"/>
      <c r="U11" s="587"/>
      <c r="V11" s="593"/>
      <c r="W11" s="596"/>
      <c r="X11" s="190">
        <v>23</v>
      </c>
    </row>
    <row r="12" spans="1:24" s="206" customFormat="1" x14ac:dyDescent="0.3">
      <c r="A12" s="581"/>
      <c r="B12" s="590"/>
      <c r="C12" s="590"/>
      <c r="D12" s="590"/>
      <c r="E12" s="599"/>
      <c r="F12" s="584"/>
      <c r="G12" s="590"/>
      <c r="H12" s="587"/>
      <c r="I12" s="602"/>
      <c r="J12" s="590"/>
      <c r="K12" s="590"/>
      <c r="L12" s="590"/>
      <c r="M12" s="590"/>
      <c r="N12" s="421">
        <v>45777</v>
      </c>
      <c r="O12" s="584"/>
      <c r="P12" s="414">
        <v>390</v>
      </c>
      <c r="Q12" s="415">
        <v>45797</v>
      </c>
      <c r="R12" s="416"/>
      <c r="S12" s="414"/>
      <c r="T12" s="414"/>
      <c r="U12" s="587"/>
      <c r="V12" s="593"/>
      <c r="W12" s="596"/>
      <c r="X12" s="206">
        <v>23</v>
      </c>
    </row>
    <row r="13" spans="1:24" s="206" customFormat="1" x14ac:dyDescent="0.3">
      <c r="A13" s="581"/>
      <c r="B13" s="590"/>
      <c r="C13" s="590"/>
      <c r="D13" s="590"/>
      <c r="E13" s="599"/>
      <c r="F13" s="584"/>
      <c r="G13" s="590"/>
      <c r="H13" s="587"/>
      <c r="I13" s="602"/>
      <c r="J13" s="590"/>
      <c r="K13" s="590"/>
      <c r="L13" s="590"/>
      <c r="M13" s="590"/>
      <c r="N13" s="421">
        <v>45808</v>
      </c>
      <c r="O13" s="584"/>
      <c r="P13" s="414">
        <v>390</v>
      </c>
      <c r="Q13" s="415">
        <v>45818</v>
      </c>
      <c r="R13" s="416"/>
      <c r="S13" s="414"/>
      <c r="T13" s="414"/>
      <c r="U13" s="587"/>
      <c r="V13" s="593"/>
      <c r="W13" s="596"/>
      <c r="X13" s="206">
        <v>23</v>
      </c>
    </row>
    <row r="14" spans="1:24" s="277" customFormat="1" x14ac:dyDescent="0.3">
      <c r="A14" s="581"/>
      <c r="B14" s="590"/>
      <c r="C14" s="590"/>
      <c r="D14" s="590"/>
      <c r="E14" s="599"/>
      <c r="F14" s="584"/>
      <c r="G14" s="590"/>
      <c r="H14" s="587"/>
      <c r="I14" s="602"/>
      <c r="J14" s="590"/>
      <c r="K14" s="590"/>
      <c r="L14" s="590"/>
      <c r="M14" s="590"/>
      <c r="N14" s="421">
        <v>45838</v>
      </c>
      <c r="O14" s="584"/>
      <c r="P14" s="414">
        <v>390</v>
      </c>
      <c r="Q14" s="415">
        <v>45853</v>
      </c>
      <c r="R14" s="416"/>
      <c r="S14" s="414"/>
      <c r="T14" s="414"/>
      <c r="U14" s="587"/>
      <c r="V14" s="593"/>
      <c r="W14" s="596"/>
      <c r="X14" s="277">
        <v>23</v>
      </c>
    </row>
    <row r="15" spans="1:24" s="343" customFormat="1" x14ac:dyDescent="0.3">
      <c r="A15" s="581"/>
      <c r="B15" s="590"/>
      <c r="C15" s="590"/>
      <c r="D15" s="590"/>
      <c r="E15" s="599"/>
      <c r="F15" s="584"/>
      <c r="G15" s="590"/>
      <c r="H15" s="587"/>
      <c r="I15" s="602"/>
      <c r="J15" s="590"/>
      <c r="K15" s="590"/>
      <c r="L15" s="590"/>
      <c r="M15" s="590"/>
      <c r="N15" s="421">
        <v>45869</v>
      </c>
      <c r="O15" s="584"/>
      <c r="P15" s="414">
        <v>390</v>
      </c>
      <c r="Q15" s="415">
        <v>45889</v>
      </c>
      <c r="R15" s="416"/>
      <c r="S15" s="414"/>
      <c r="T15" s="414"/>
      <c r="U15" s="587"/>
      <c r="V15" s="593"/>
      <c r="W15" s="596"/>
      <c r="X15" s="343">
        <v>23</v>
      </c>
    </row>
    <row r="16" spans="1:24" s="410" customFormat="1" x14ac:dyDescent="0.3">
      <c r="A16" s="582"/>
      <c r="B16" s="591"/>
      <c r="C16" s="591"/>
      <c r="D16" s="591"/>
      <c r="E16" s="600"/>
      <c r="F16" s="585"/>
      <c r="G16" s="591"/>
      <c r="H16" s="588"/>
      <c r="I16" s="603"/>
      <c r="J16" s="591"/>
      <c r="K16" s="591"/>
      <c r="L16" s="591"/>
      <c r="M16" s="591"/>
      <c r="N16" s="422">
        <v>45900</v>
      </c>
      <c r="O16" s="585"/>
      <c r="P16" s="417">
        <v>390</v>
      </c>
      <c r="Q16" s="418">
        <v>45917</v>
      </c>
      <c r="R16" s="419"/>
      <c r="S16" s="417"/>
      <c r="T16" s="417"/>
      <c r="U16" s="588"/>
      <c r="V16" s="594"/>
      <c r="W16" s="597"/>
      <c r="X16" s="410">
        <v>23</v>
      </c>
    </row>
    <row r="17" spans="1:24" s="105" customFormat="1" ht="144" x14ac:dyDescent="0.3">
      <c r="A17" s="116">
        <v>2</v>
      </c>
      <c r="B17" s="117" t="s">
        <v>56</v>
      </c>
      <c r="C17" s="117" t="s">
        <v>146</v>
      </c>
      <c r="D17" s="117" t="s">
        <v>147</v>
      </c>
      <c r="E17" s="139" t="s">
        <v>215</v>
      </c>
      <c r="F17" s="141">
        <v>45702</v>
      </c>
      <c r="G17" s="130" t="s">
        <v>216</v>
      </c>
      <c r="H17" s="118">
        <v>28904.9</v>
      </c>
      <c r="I17" s="119">
        <f>IF(X17 = 35, H17 + SUM(S17:S17) - SUM(T17:T17) - SUM(P17:P17) - V17,0)</f>
        <v>0</v>
      </c>
      <c r="J17" s="117" t="s">
        <v>217</v>
      </c>
      <c r="K17" s="130" t="s">
        <v>218</v>
      </c>
      <c r="L17" s="117" t="s">
        <v>146</v>
      </c>
      <c r="M17" s="117"/>
      <c r="N17" s="141">
        <v>45720</v>
      </c>
      <c r="O17" s="141" t="s">
        <v>183</v>
      </c>
      <c r="P17" s="118">
        <v>28904.9</v>
      </c>
      <c r="Q17" s="120">
        <v>45733</v>
      </c>
      <c r="R17" s="117"/>
      <c r="S17" s="118"/>
      <c r="T17" s="118"/>
      <c r="U17" s="118"/>
      <c r="V17" s="140"/>
      <c r="W17" s="138"/>
      <c r="X17" s="105">
        <v>35</v>
      </c>
    </row>
    <row r="18" spans="1:24" s="105" customFormat="1" ht="144" x14ac:dyDescent="0.3">
      <c r="A18" s="116">
        <v>3</v>
      </c>
      <c r="B18" s="117" t="s">
        <v>56</v>
      </c>
      <c r="C18" s="117" t="s">
        <v>146</v>
      </c>
      <c r="D18" s="117" t="s">
        <v>147</v>
      </c>
      <c r="E18" s="139">
        <v>9</v>
      </c>
      <c r="F18" s="141">
        <v>45713</v>
      </c>
      <c r="G18" s="117" t="s">
        <v>226</v>
      </c>
      <c r="H18" s="118">
        <v>22668</v>
      </c>
      <c r="I18" s="119">
        <f>IF(X18 = 37, H18 + SUM(S18:S18) - SUM(T18:T18) - SUM(P18:P18) - V18,0)</f>
        <v>0</v>
      </c>
      <c r="J18" s="117" t="s">
        <v>227</v>
      </c>
      <c r="K18" s="117" t="s">
        <v>228</v>
      </c>
      <c r="L18" s="117" t="s">
        <v>146</v>
      </c>
      <c r="M18" s="117"/>
      <c r="N18" s="141">
        <v>45713</v>
      </c>
      <c r="O18" s="141" t="s">
        <v>183</v>
      </c>
      <c r="P18" s="118">
        <v>22668</v>
      </c>
      <c r="Q18" s="120">
        <v>45715</v>
      </c>
      <c r="R18" s="117"/>
      <c r="S18" s="118"/>
      <c r="T18" s="118"/>
      <c r="U18" s="118"/>
      <c r="V18" s="140"/>
      <c r="W18" s="138"/>
      <c r="X18" s="105">
        <v>37</v>
      </c>
    </row>
    <row r="19" spans="1:24" s="105" customFormat="1" ht="144" x14ac:dyDescent="0.3">
      <c r="A19" s="153">
        <v>4</v>
      </c>
      <c r="B19" s="154" t="s">
        <v>56</v>
      </c>
      <c r="C19" s="154" t="s">
        <v>146</v>
      </c>
      <c r="D19" s="154" t="s">
        <v>147</v>
      </c>
      <c r="E19" s="172">
        <v>10</v>
      </c>
      <c r="F19" s="162">
        <v>45708</v>
      </c>
      <c r="G19" s="154" t="s">
        <v>232</v>
      </c>
      <c r="H19" s="157">
        <v>66750</v>
      </c>
      <c r="I19" s="158">
        <f>IF(X19 = 40, H19 + SUM(S19:S19) - SUM(T19:T19) - SUM(P19:P19) - V19,0)</f>
        <v>0</v>
      </c>
      <c r="J19" s="154" t="s">
        <v>233</v>
      </c>
      <c r="K19" s="154" t="s">
        <v>210</v>
      </c>
      <c r="L19" s="154" t="s">
        <v>146</v>
      </c>
      <c r="M19" s="154"/>
      <c r="N19" s="162">
        <v>45713</v>
      </c>
      <c r="O19" s="162" t="s">
        <v>183</v>
      </c>
      <c r="P19" s="157">
        <v>66750</v>
      </c>
      <c r="Q19" s="156">
        <v>45715</v>
      </c>
      <c r="R19" s="154"/>
      <c r="S19" s="157"/>
      <c r="T19" s="157"/>
      <c r="U19" s="157"/>
      <c r="V19" s="173"/>
      <c r="W19" s="151"/>
      <c r="X19" s="105">
        <v>40</v>
      </c>
    </row>
    <row r="20" spans="1:24" s="105" customFormat="1" ht="144" customHeight="1" x14ac:dyDescent="0.3">
      <c r="A20" s="580">
        <v>5</v>
      </c>
      <c r="B20" s="589" t="s">
        <v>56</v>
      </c>
      <c r="C20" s="589" t="s">
        <v>146</v>
      </c>
      <c r="D20" s="589" t="s">
        <v>147</v>
      </c>
      <c r="E20" s="598">
        <v>166</v>
      </c>
      <c r="F20" s="583">
        <v>45734</v>
      </c>
      <c r="G20" s="589" t="s">
        <v>239</v>
      </c>
      <c r="H20" s="586">
        <v>15632.75</v>
      </c>
      <c r="I20" s="601">
        <f>IF(X20 = 41, H20 + SUM(S20:S32) - SUM(T20:T32) - SUM(P20:P32) - V20,0)</f>
        <v>2771.25</v>
      </c>
      <c r="J20" s="589" t="s">
        <v>240</v>
      </c>
      <c r="K20" s="589" t="s">
        <v>241</v>
      </c>
      <c r="L20" s="589" t="s">
        <v>146</v>
      </c>
      <c r="M20" s="589"/>
      <c r="N20" s="420">
        <v>45742</v>
      </c>
      <c r="O20" s="583" t="s">
        <v>183</v>
      </c>
      <c r="P20" s="411">
        <v>1317.73</v>
      </c>
      <c r="Q20" s="412">
        <v>45742</v>
      </c>
      <c r="R20" s="413"/>
      <c r="S20" s="411"/>
      <c r="T20" s="411"/>
      <c r="U20" s="586"/>
      <c r="V20" s="592"/>
      <c r="W20" s="595"/>
      <c r="X20" s="105">
        <v>41</v>
      </c>
    </row>
    <row r="21" spans="1:24" s="152" customFormat="1" x14ac:dyDescent="0.3">
      <c r="A21" s="581"/>
      <c r="B21" s="590"/>
      <c r="C21" s="590"/>
      <c r="D21" s="590"/>
      <c r="E21" s="599"/>
      <c r="F21" s="584"/>
      <c r="G21" s="590"/>
      <c r="H21" s="587"/>
      <c r="I21" s="602"/>
      <c r="J21" s="590"/>
      <c r="K21" s="590"/>
      <c r="L21" s="590"/>
      <c r="M21" s="590"/>
      <c r="N21" s="421">
        <v>45742</v>
      </c>
      <c r="O21" s="584"/>
      <c r="P21" s="414">
        <v>337.44</v>
      </c>
      <c r="Q21" s="415">
        <v>45742</v>
      </c>
      <c r="R21" s="416"/>
      <c r="S21" s="414"/>
      <c r="T21" s="414"/>
      <c r="U21" s="587"/>
      <c r="V21" s="593"/>
      <c r="W21" s="596"/>
      <c r="X21" s="152">
        <v>41</v>
      </c>
    </row>
    <row r="22" spans="1:24" s="152" customFormat="1" x14ac:dyDescent="0.3">
      <c r="A22" s="581"/>
      <c r="B22" s="590"/>
      <c r="C22" s="590"/>
      <c r="D22" s="590"/>
      <c r="E22" s="599"/>
      <c r="F22" s="584"/>
      <c r="G22" s="590"/>
      <c r="H22" s="587"/>
      <c r="I22" s="602"/>
      <c r="J22" s="590"/>
      <c r="K22" s="590"/>
      <c r="L22" s="590"/>
      <c r="M22" s="590"/>
      <c r="N22" s="424">
        <v>45742</v>
      </c>
      <c r="O22" s="584"/>
      <c r="P22" s="414">
        <v>1136.08</v>
      </c>
      <c r="Q22" s="423">
        <v>45742</v>
      </c>
      <c r="R22" s="416"/>
      <c r="S22" s="414"/>
      <c r="T22" s="414"/>
      <c r="U22" s="587"/>
      <c r="V22" s="593"/>
      <c r="W22" s="596"/>
      <c r="X22" s="152">
        <v>41</v>
      </c>
    </row>
    <row r="23" spans="1:24" s="190" customFormat="1" x14ac:dyDescent="0.3">
      <c r="A23" s="581"/>
      <c r="B23" s="590"/>
      <c r="C23" s="590"/>
      <c r="D23" s="590"/>
      <c r="E23" s="599"/>
      <c r="F23" s="584"/>
      <c r="G23" s="590"/>
      <c r="H23" s="587"/>
      <c r="I23" s="602"/>
      <c r="J23" s="590"/>
      <c r="K23" s="590"/>
      <c r="L23" s="590"/>
      <c r="M23" s="590"/>
      <c r="N23" s="421">
        <v>45747</v>
      </c>
      <c r="O23" s="584"/>
      <c r="P23" s="414">
        <v>1177.33</v>
      </c>
      <c r="Q23" s="415">
        <v>45756</v>
      </c>
      <c r="R23" s="416"/>
      <c r="S23" s="414"/>
      <c r="T23" s="414"/>
      <c r="U23" s="587"/>
      <c r="V23" s="593"/>
      <c r="W23" s="596"/>
      <c r="X23" s="190">
        <v>41</v>
      </c>
    </row>
    <row r="24" spans="1:24" s="206" customFormat="1" x14ac:dyDescent="0.3">
      <c r="A24" s="581"/>
      <c r="B24" s="590"/>
      <c r="C24" s="590"/>
      <c r="D24" s="590"/>
      <c r="E24" s="599"/>
      <c r="F24" s="584"/>
      <c r="G24" s="590"/>
      <c r="H24" s="587"/>
      <c r="I24" s="602"/>
      <c r="J24" s="590"/>
      <c r="K24" s="590"/>
      <c r="L24" s="590"/>
      <c r="M24" s="590"/>
      <c r="N24" s="421">
        <v>45777</v>
      </c>
      <c r="O24" s="584"/>
      <c r="P24" s="414">
        <v>38.81</v>
      </c>
      <c r="Q24" s="415">
        <v>45789</v>
      </c>
      <c r="R24" s="416"/>
      <c r="S24" s="414"/>
      <c r="T24" s="414"/>
      <c r="U24" s="587"/>
      <c r="V24" s="593"/>
      <c r="W24" s="596"/>
      <c r="X24" s="206">
        <v>41</v>
      </c>
    </row>
    <row r="25" spans="1:24" s="206" customFormat="1" x14ac:dyDescent="0.3">
      <c r="A25" s="581"/>
      <c r="B25" s="590"/>
      <c r="C25" s="590"/>
      <c r="D25" s="590"/>
      <c r="E25" s="599"/>
      <c r="F25" s="584"/>
      <c r="G25" s="590"/>
      <c r="H25" s="587"/>
      <c r="I25" s="602"/>
      <c r="J25" s="590"/>
      <c r="K25" s="590"/>
      <c r="L25" s="590"/>
      <c r="M25" s="590"/>
      <c r="N25" s="421">
        <v>45777</v>
      </c>
      <c r="O25" s="584"/>
      <c r="P25" s="414">
        <v>1124.69</v>
      </c>
      <c r="Q25" s="415">
        <v>45789</v>
      </c>
      <c r="R25" s="416"/>
      <c r="S25" s="414"/>
      <c r="T25" s="414"/>
      <c r="U25" s="587"/>
      <c r="V25" s="593"/>
      <c r="W25" s="596"/>
      <c r="X25" s="206">
        <v>41</v>
      </c>
    </row>
    <row r="26" spans="1:24" s="206" customFormat="1" x14ac:dyDescent="0.3">
      <c r="A26" s="581"/>
      <c r="B26" s="590"/>
      <c r="C26" s="590"/>
      <c r="D26" s="590"/>
      <c r="E26" s="599"/>
      <c r="F26" s="584"/>
      <c r="G26" s="590"/>
      <c r="H26" s="587"/>
      <c r="I26" s="602"/>
      <c r="J26" s="590"/>
      <c r="K26" s="590"/>
      <c r="L26" s="590"/>
      <c r="M26" s="590"/>
      <c r="N26" s="421">
        <v>45808</v>
      </c>
      <c r="O26" s="584"/>
      <c r="P26" s="414">
        <v>1408.56</v>
      </c>
      <c r="Q26" s="415">
        <v>45812</v>
      </c>
      <c r="R26" s="416"/>
      <c r="S26" s="414"/>
      <c r="T26" s="414"/>
      <c r="U26" s="587"/>
      <c r="V26" s="593"/>
      <c r="W26" s="596"/>
      <c r="X26" s="206">
        <v>41</v>
      </c>
    </row>
    <row r="27" spans="1:24" s="206" customFormat="1" x14ac:dyDescent="0.3">
      <c r="A27" s="581"/>
      <c r="B27" s="590"/>
      <c r="C27" s="590"/>
      <c r="D27" s="590"/>
      <c r="E27" s="599"/>
      <c r="F27" s="584"/>
      <c r="G27" s="590"/>
      <c r="H27" s="587"/>
      <c r="I27" s="602"/>
      <c r="J27" s="590"/>
      <c r="K27" s="590"/>
      <c r="L27" s="590"/>
      <c r="M27" s="590"/>
      <c r="N27" s="421">
        <v>45808</v>
      </c>
      <c r="O27" s="584"/>
      <c r="P27" s="414">
        <v>1618.63</v>
      </c>
      <c r="Q27" s="415">
        <v>45812</v>
      </c>
      <c r="R27" s="416"/>
      <c r="S27" s="414"/>
      <c r="T27" s="414"/>
      <c r="U27" s="587"/>
      <c r="V27" s="593"/>
      <c r="W27" s="596"/>
      <c r="X27" s="206">
        <v>41</v>
      </c>
    </row>
    <row r="28" spans="1:24" s="277" customFormat="1" x14ac:dyDescent="0.3">
      <c r="A28" s="581"/>
      <c r="B28" s="590"/>
      <c r="C28" s="590"/>
      <c r="D28" s="590"/>
      <c r="E28" s="599"/>
      <c r="F28" s="584"/>
      <c r="G28" s="590"/>
      <c r="H28" s="587"/>
      <c r="I28" s="602"/>
      <c r="J28" s="590"/>
      <c r="K28" s="590"/>
      <c r="L28" s="590"/>
      <c r="M28" s="590"/>
      <c r="N28" s="421">
        <v>45838</v>
      </c>
      <c r="O28" s="584"/>
      <c r="P28" s="414">
        <v>1161.4100000000001</v>
      </c>
      <c r="Q28" s="415">
        <v>45847</v>
      </c>
      <c r="R28" s="416"/>
      <c r="S28" s="414"/>
      <c r="T28" s="414"/>
      <c r="U28" s="587"/>
      <c r="V28" s="593"/>
      <c r="W28" s="596"/>
      <c r="X28" s="277">
        <v>41</v>
      </c>
    </row>
    <row r="29" spans="1:24" s="277" customFormat="1" x14ac:dyDescent="0.3">
      <c r="A29" s="581"/>
      <c r="B29" s="590"/>
      <c r="C29" s="590"/>
      <c r="D29" s="590"/>
      <c r="E29" s="599"/>
      <c r="F29" s="584"/>
      <c r="G29" s="590"/>
      <c r="H29" s="587"/>
      <c r="I29" s="602"/>
      <c r="J29" s="590"/>
      <c r="K29" s="590"/>
      <c r="L29" s="590"/>
      <c r="M29" s="590"/>
      <c r="N29" s="421">
        <v>45838</v>
      </c>
      <c r="O29" s="584"/>
      <c r="P29" s="414">
        <v>956.02</v>
      </c>
      <c r="Q29" s="415">
        <v>45847</v>
      </c>
      <c r="R29" s="416"/>
      <c r="S29" s="414"/>
      <c r="T29" s="414"/>
      <c r="U29" s="587"/>
      <c r="V29" s="593"/>
      <c r="W29" s="596"/>
      <c r="X29" s="277">
        <v>41</v>
      </c>
    </row>
    <row r="30" spans="1:24" s="343" customFormat="1" x14ac:dyDescent="0.3">
      <c r="A30" s="581"/>
      <c r="B30" s="590"/>
      <c r="C30" s="590"/>
      <c r="D30" s="590"/>
      <c r="E30" s="599"/>
      <c r="F30" s="584"/>
      <c r="G30" s="590"/>
      <c r="H30" s="587"/>
      <c r="I30" s="602"/>
      <c r="J30" s="590"/>
      <c r="K30" s="590"/>
      <c r="L30" s="590"/>
      <c r="M30" s="590"/>
      <c r="N30" s="421">
        <v>45869</v>
      </c>
      <c r="O30" s="584"/>
      <c r="P30" s="414">
        <v>1324.01</v>
      </c>
      <c r="Q30" s="415">
        <v>45882</v>
      </c>
      <c r="R30" s="416"/>
      <c r="S30" s="414"/>
      <c r="T30" s="414"/>
      <c r="U30" s="587"/>
      <c r="V30" s="593"/>
      <c r="W30" s="596"/>
      <c r="X30" s="343">
        <v>41</v>
      </c>
    </row>
    <row r="31" spans="1:24" s="343" customFormat="1" x14ac:dyDescent="0.3">
      <c r="A31" s="581"/>
      <c r="B31" s="590"/>
      <c r="C31" s="590"/>
      <c r="D31" s="590"/>
      <c r="E31" s="599"/>
      <c r="F31" s="584"/>
      <c r="G31" s="590"/>
      <c r="H31" s="587"/>
      <c r="I31" s="602"/>
      <c r="J31" s="590"/>
      <c r="K31" s="590"/>
      <c r="L31" s="590"/>
      <c r="M31" s="590"/>
      <c r="N31" s="421">
        <v>45869</v>
      </c>
      <c r="O31" s="584"/>
      <c r="P31" s="414">
        <v>15.07</v>
      </c>
      <c r="Q31" s="415">
        <v>45882</v>
      </c>
      <c r="R31" s="416"/>
      <c r="S31" s="414"/>
      <c r="T31" s="414"/>
      <c r="U31" s="587"/>
      <c r="V31" s="593"/>
      <c r="W31" s="596"/>
      <c r="X31" s="343">
        <v>41</v>
      </c>
    </row>
    <row r="32" spans="1:24" s="410" customFormat="1" x14ac:dyDescent="0.3">
      <c r="A32" s="582"/>
      <c r="B32" s="591"/>
      <c r="C32" s="591"/>
      <c r="D32" s="591"/>
      <c r="E32" s="600"/>
      <c r="F32" s="585"/>
      <c r="G32" s="591"/>
      <c r="H32" s="588"/>
      <c r="I32" s="603"/>
      <c r="J32" s="591"/>
      <c r="K32" s="591"/>
      <c r="L32" s="591"/>
      <c r="M32" s="591"/>
      <c r="N32" s="422">
        <v>45900</v>
      </c>
      <c r="O32" s="585"/>
      <c r="P32" s="417">
        <v>1245.72</v>
      </c>
      <c r="Q32" s="418">
        <v>45909</v>
      </c>
      <c r="R32" s="419"/>
      <c r="S32" s="417"/>
      <c r="T32" s="417"/>
      <c r="U32" s="588"/>
      <c r="V32" s="594"/>
      <c r="W32" s="597"/>
      <c r="X32" s="410">
        <v>41</v>
      </c>
    </row>
    <row r="33" spans="1:24" s="105" customFormat="1" ht="144" x14ac:dyDescent="0.3">
      <c r="A33" s="153">
        <v>6</v>
      </c>
      <c r="B33" s="154" t="s">
        <v>56</v>
      </c>
      <c r="C33" s="154" t="s">
        <v>146</v>
      </c>
      <c r="D33" s="154" t="s">
        <v>147</v>
      </c>
      <c r="E33" s="155">
        <v>45735</v>
      </c>
      <c r="F33" s="162">
        <v>45735</v>
      </c>
      <c r="G33" s="154" t="s">
        <v>242</v>
      </c>
      <c r="H33" s="157">
        <v>10935</v>
      </c>
      <c r="I33" s="158">
        <f>IF(X33 = 42, H33 + SUM(S33:S33) - SUM(T33:T33) - SUM(P33:P33) - V33,0)</f>
        <v>0</v>
      </c>
      <c r="J33" s="154" t="s">
        <v>243</v>
      </c>
      <c r="K33" s="154" t="s">
        <v>244</v>
      </c>
      <c r="L33" s="154" t="s">
        <v>146</v>
      </c>
      <c r="M33" s="154"/>
      <c r="N33" s="162">
        <v>45736</v>
      </c>
      <c r="O33" s="162" t="s">
        <v>183</v>
      </c>
      <c r="P33" s="157">
        <v>10935</v>
      </c>
      <c r="Q33" s="156">
        <v>45736</v>
      </c>
      <c r="R33" s="154"/>
      <c r="S33" s="157"/>
      <c r="T33" s="157"/>
      <c r="U33" s="157"/>
      <c r="V33" s="173"/>
      <c r="W33" s="151"/>
      <c r="X33" s="105">
        <v>42</v>
      </c>
    </row>
    <row r="34" spans="1:24" s="105" customFormat="1" ht="144" x14ac:dyDescent="0.3">
      <c r="A34" s="176">
        <v>7</v>
      </c>
      <c r="B34" s="184" t="s">
        <v>56</v>
      </c>
      <c r="C34" s="184" t="s">
        <v>146</v>
      </c>
      <c r="D34" s="184" t="s">
        <v>147</v>
      </c>
      <c r="E34" s="183" t="s">
        <v>251</v>
      </c>
      <c r="F34" s="189">
        <v>45744</v>
      </c>
      <c r="G34" s="184" t="s">
        <v>252</v>
      </c>
      <c r="H34" s="178">
        <v>8000</v>
      </c>
      <c r="I34" s="179">
        <f>IF(X34 = 43, H34 + SUM(S34:S34) - SUM(T34:T34) - SUM(P34:P34) - V34,0)</f>
        <v>0</v>
      </c>
      <c r="J34" s="184" t="s">
        <v>253</v>
      </c>
      <c r="K34" s="184" t="s">
        <v>231</v>
      </c>
      <c r="L34" s="184" t="s">
        <v>146</v>
      </c>
      <c r="M34" s="184"/>
      <c r="N34" s="189">
        <v>45814</v>
      </c>
      <c r="O34" s="189" t="s">
        <v>183</v>
      </c>
      <c r="P34" s="178">
        <v>8000</v>
      </c>
      <c r="Q34" s="177">
        <v>45818</v>
      </c>
      <c r="R34" s="184"/>
      <c r="S34" s="178"/>
      <c r="T34" s="178"/>
      <c r="U34" s="178"/>
      <c r="V34" s="188"/>
      <c r="W34" s="185"/>
      <c r="X34" s="105">
        <v>43</v>
      </c>
    </row>
    <row r="35" spans="1:24" s="105" customFormat="1" ht="144" x14ac:dyDescent="0.3">
      <c r="A35" s="176">
        <v>8</v>
      </c>
      <c r="B35" s="184" t="s">
        <v>56</v>
      </c>
      <c r="C35" s="184" t="s">
        <v>146</v>
      </c>
      <c r="D35" s="184" t="s">
        <v>147</v>
      </c>
      <c r="E35" s="183" t="s">
        <v>254</v>
      </c>
      <c r="F35" s="189">
        <v>45749</v>
      </c>
      <c r="G35" s="184" t="s">
        <v>255</v>
      </c>
      <c r="H35" s="178">
        <v>8800</v>
      </c>
      <c r="I35" s="179">
        <f>IF(X35 = 44, H35 + SUM(S35:S35) - SUM(T35:T35) - SUM(P35:P35) - V35,0)</f>
        <v>0</v>
      </c>
      <c r="J35" s="184" t="s">
        <v>256</v>
      </c>
      <c r="K35" s="184" t="s">
        <v>257</v>
      </c>
      <c r="L35" s="184" t="s">
        <v>146</v>
      </c>
      <c r="M35" s="184"/>
      <c r="N35" s="189">
        <v>45749</v>
      </c>
      <c r="O35" s="189" t="s">
        <v>183</v>
      </c>
      <c r="P35" s="178">
        <v>8800</v>
      </c>
      <c r="Q35" s="177">
        <v>45750</v>
      </c>
      <c r="R35" s="184"/>
      <c r="S35" s="178"/>
      <c r="T35" s="178"/>
      <c r="U35" s="178"/>
      <c r="V35" s="188"/>
      <c r="W35" s="185"/>
      <c r="X35" s="105">
        <v>44</v>
      </c>
    </row>
    <row r="36" spans="1:24" s="105" customFormat="1" ht="144" customHeight="1" x14ac:dyDescent="0.3">
      <c r="A36" s="550">
        <v>9</v>
      </c>
      <c r="B36" s="556" t="s">
        <v>56</v>
      </c>
      <c r="C36" s="556" t="s">
        <v>146</v>
      </c>
      <c r="D36" s="556" t="s">
        <v>147</v>
      </c>
      <c r="E36" s="552" t="s">
        <v>261</v>
      </c>
      <c r="F36" s="552">
        <v>45755</v>
      </c>
      <c r="G36" s="556" t="s">
        <v>262</v>
      </c>
      <c r="H36" s="554">
        <v>5500</v>
      </c>
      <c r="I36" s="572">
        <f>IF(X36 = 45, H36 + SUM(S36:S37) - SUM(T36:T37) - SUM(P36:P37) - V36,0)</f>
        <v>0</v>
      </c>
      <c r="J36" s="556" t="s">
        <v>263</v>
      </c>
      <c r="K36" s="556" t="s">
        <v>264</v>
      </c>
      <c r="L36" s="556" t="s">
        <v>146</v>
      </c>
      <c r="M36" s="556"/>
      <c r="N36" s="201"/>
      <c r="O36" s="552" t="s">
        <v>183</v>
      </c>
      <c r="P36" s="192">
        <v>1650</v>
      </c>
      <c r="Q36" s="193">
        <v>45757</v>
      </c>
      <c r="R36" s="194"/>
      <c r="S36" s="192"/>
      <c r="T36" s="192"/>
      <c r="U36" s="554"/>
      <c r="V36" s="570"/>
      <c r="W36" s="576"/>
      <c r="X36" s="105">
        <v>45</v>
      </c>
    </row>
    <row r="37" spans="1:24" s="190" customFormat="1" x14ac:dyDescent="0.3">
      <c r="A37" s="551"/>
      <c r="B37" s="557"/>
      <c r="C37" s="557"/>
      <c r="D37" s="557"/>
      <c r="E37" s="553"/>
      <c r="F37" s="553"/>
      <c r="G37" s="557"/>
      <c r="H37" s="555"/>
      <c r="I37" s="573"/>
      <c r="J37" s="557"/>
      <c r="K37" s="557"/>
      <c r="L37" s="557"/>
      <c r="M37" s="557"/>
      <c r="N37" s="203">
        <v>45758</v>
      </c>
      <c r="O37" s="553"/>
      <c r="P37" s="198">
        <v>3850</v>
      </c>
      <c r="Q37" s="199">
        <v>45761</v>
      </c>
      <c r="R37" s="200"/>
      <c r="S37" s="198"/>
      <c r="T37" s="198"/>
      <c r="U37" s="555"/>
      <c r="V37" s="571"/>
      <c r="W37" s="577"/>
      <c r="X37" s="190">
        <v>45</v>
      </c>
    </row>
    <row r="38" spans="1:24" s="105" customFormat="1" ht="144" x14ac:dyDescent="0.3">
      <c r="A38" s="176">
        <v>10</v>
      </c>
      <c r="B38" s="184" t="s">
        <v>56</v>
      </c>
      <c r="C38" s="184" t="s">
        <v>146</v>
      </c>
      <c r="D38" s="184" t="s">
        <v>147</v>
      </c>
      <c r="E38" s="184">
        <v>22</v>
      </c>
      <c r="F38" s="189">
        <v>45754</v>
      </c>
      <c r="G38" s="184" t="s">
        <v>268</v>
      </c>
      <c r="H38" s="178">
        <v>13473.82</v>
      </c>
      <c r="I38" s="179">
        <f>IF(X38 = 46, H38 + SUM(S38:S38) - SUM(T38:T38) - SUM(P38:P38) - V38,0)</f>
        <v>0</v>
      </c>
      <c r="J38" s="184" t="s">
        <v>267</v>
      </c>
      <c r="K38" s="184" t="s">
        <v>266</v>
      </c>
      <c r="L38" s="184" t="s">
        <v>146</v>
      </c>
      <c r="M38" s="184"/>
      <c r="N38" s="189">
        <v>45756</v>
      </c>
      <c r="O38" s="189" t="s">
        <v>265</v>
      </c>
      <c r="P38" s="178">
        <v>13473.82</v>
      </c>
      <c r="Q38" s="177">
        <v>45757</v>
      </c>
      <c r="R38" s="184"/>
      <c r="S38" s="178"/>
      <c r="T38" s="178"/>
      <c r="U38" s="178"/>
      <c r="V38" s="188"/>
      <c r="W38" s="185"/>
      <c r="X38" s="105">
        <v>46</v>
      </c>
    </row>
    <row r="39" spans="1:24" s="105" customFormat="1" ht="144" x14ac:dyDescent="0.3">
      <c r="A39" s="176">
        <v>11</v>
      </c>
      <c r="B39" s="184" t="s">
        <v>56</v>
      </c>
      <c r="C39" s="184" t="s">
        <v>146</v>
      </c>
      <c r="D39" s="184" t="s">
        <v>147</v>
      </c>
      <c r="E39" s="184" t="s">
        <v>131</v>
      </c>
      <c r="F39" s="189">
        <v>45756</v>
      </c>
      <c r="G39" s="184" t="s">
        <v>269</v>
      </c>
      <c r="H39" s="178">
        <v>9970</v>
      </c>
      <c r="I39" s="179">
        <f>IF(X39 = 47, H39 + SUM(S39:S39) - SUM(T39:T39) - SUM(P39:P39) - V39,0)</f>
        <v>0</v>
      </c>
      <c r="J39" s="184" t="s">
        <v>270</v>
      </c>
      <c r="K39" s="184" t="s">
        <v>271</v>
      </c>
      <c r="L39" s="184" t="s">
        <v>146</v>
      </c>
      <c r="M39" s="184"/>
      <c r="N39" s="189">
        <v>45756</v>
      </c>
      <c r="O39" s="189" t="s">
        <v>183</v>
      </c>
      <c r="P39" s="178">
        <v>9970</v>
      </c>
      <c r="Q39" s="177">
        <v>45757</v>
      </c>
      <c r="R39" s="184"/>
      <c r="S39" s="178"/>
      <c r="T39" s="178"/>
      <c r="U39" s="178"/>
      <c r="V39" s="188"/>
      <c r="W39" s="185"/>
      <c r="X39" s="105">
        <v>47</v>
      </c>
    </row>
    <row r="40" spans="1:24" s="105" customFormat="1" ht="144" x14ac:dyDescent="0.3">
      <c r="A40" s="176">
        <v>12</v>
      </c>
      <c r="B40" s="186" t="s">
        <v>56</v>
      </c>
      <c r="C40" s="186" t="s">
        <v>146</v>
      </c>
      <c r="D40" s="186" t="s">
        <v>147</v>
      </c>
      <c r="E40" s="186" t="s">
        <v>272</v>
      </c>
      <c r="F40" s="191">
        <v>45762</v>
      </c>
      <c r="G40" s="186" t="s">
        <v>273</v>
      </c>
      <c r="H40" s="178">
        <v>4200</v>
      </c>
      <c r="I40" s="179">
        <f>IF(X40 = 48, H40 + SUM(S40:S40) - SUM(T40:T40) - SUM(P40:P40) - V40,0)</f>
        <v>0</v>
      </c>
      <c r="J40" s="186" t="s">
        <v>274</v>
      </c>
      <c r="K40" s="186" t="s">
        <v>159</v>
      </c>
      <c r="L40" s="186" t="s">
        <v>146</v>
      </c>
      <c r="M40" s="186"/>
      <c r="N40" s="191">
        <v>45762</v>
      </c>
      <c r="O40" s="191" t="s">
        <v>183</v>
      </c>
      <c r="P40" s="178">
        <v>4200</v>
      </c>
      <c r="Q40" s="177">
        <v>45771</v>
      </c>
      <c r="R40" s="186"/>
      <c r="S40" s="178"/>
      <c r="T40" s="178"/>
      <c r="U40" s="178"/>
      <c r="V40" s="188"/>
      <c r="W40" s="187"/>
      <c r="X40" s="105">
        <v>48</v>
      </c>
    </row>
    <row r="41" spans="1:24" s="105" customFormat="1" ht="144" x14ac:dyDescent="0.3">
      <c r="A41" s="209">
        <v>13</v>
      </c>
      <c r="B41" s="205" t="s">
        <v>56</v>
      </c>
      <c r="C41" s="205" t="s">
        <v>146</v>
      </c>
      <c r="D41" s="205" t="s">
        <v>147</v>
      </c>
      <c r="E41" s="205" t="s">
        <v>136</v>
      </c>
      <c r="F41" s="216">
        <v>45782</v>
      </c>
      <c r="G41" s="205" t="s">
        <v>278</v>
      </c>
      <c r="H41" s="211">
        <v>80900</v>
      </c>
      <c r="I41" s="212">
        <f>IF(X41 = 49, H41 + SUM(S41:S41) - SUM(T41:T41) - SUM(P41:P41) - V41,0)</f>
        <v>0</v>
      </c>
      <c r="J41" s="205" t="s">
        <v>279</v>
      </c>
      <c r="K41" s="205" t="s">
        <v>280</v>
      </c>
      <c r="L41" s="205" t="s">
        <v>146</v>
      </c>
      <c r="M41" s="205"/>
      <c r="N41" s="216">
        <v>45783</v>
      </c>
      <c r="O41" s="216" t="s">
        <v>183</v>
      </c>
      <c r="P41" s="211">
        <v>80900</v>
      </c>
      <c r="Q41" s="210">
        <v>45789</v>
      </c>
      <c r="R41" s="205"/>
      <c r="S41" s="211"/>
      <c r="T41" s="211"/>
      <c r="U41" s="211"/>
      <c r="V41" s="217"/>
      <c r="W41" s="204"/>
      <c r="X41" s="105">
        <v>49</v>
      </c>
    </row>
    <row r="42" spans="1:24" s="105" customFormat="1" ht="144" x14ac:dyDescent="0.3">
      <c r="A42" s="209">
        <v>14</v>
      </c>
      <c r="B42" s="205" t="s">
        <v>56</v>
      </c>
      <c r="C42" s="205" t="s">
        <v>146</v>
      </c>
      <c r="D42" s="205" t="s">
        <v>147</v>
      </c>
      <c r="E42" s="205" t="s">
        <v>285</v>
      </c>
      <c r="F42" s="216">
        <v>45784</v>
      </c>
      <c r="G42" s="205" t="s">
        <v>286</v>
      </c>
      <c r="H42" s="211">
        <v>29900</v>
      </c>
      <c r="I42" s="212">
        <f>IF(X42 = 50, H42 + SUM(S42:S42) - SUM(T42:T42) - SUM(P42:P42) - V42,0)</f>
        <v>0</v>
      </c>
      <c r="J42" s="205" t="s">
        <v>287</v>
      </c>
      <c r="K42" s="205" t="s">
        <v>288</v>
      </c>
      <c r="L42" s="205" t="s">
        <v>146</v>
      </c>
      <c r="M42" s="205"/>
      <c r="N42" s="216">
        <v>45784</v>
      </c>
      <c r="O42" s="216" t="s">
        <v>183</v>
      </c>
      <c r="P42" s="211">
        <v>29900</v>
      </c>
      <c r="Q42" s="210">
        <v>45791</v>
      </c>
      <c r="R42" s="205"/>
      <c r="S42" s="211"/>
      <c r="T42" s="211"/>
      <c r="U42" s="211"/>
      <c r="V42" s="217"/>
      <c r="W42" s="204"/>
      <c r="X42" s="105">
        <v>50</v>
      </c>
    </row>
    <row r="43" spans="1:24" s="105" customFormat="1" ht="144" customHeight="1" x14ac:dyDescent="0.3">
      <c r="A43" s="558">
        <v>15</v>
      </c>
      <c r="B43" s="535" t="s">
        <v>56</v>
      </c>
      <c r="C43" s="535" t="s">
        <v>146</v>
      </c>
      <c r="D43" s="535" t="s">
        <v>147</v>
      </c>
      <c r="E43" s="535" t="s">
        <v>292</v>
      </c>
      <c r="F43" s="537">
        <v>45789</v>
      </c>
      <c r="G43" s="535" t="s">
        <v>291</v>
      </c>
      <c r="H43" s="539">
        <v>14500</v>
      </c>
      <c r="I43" s="541">
        <f>IF(X43 = 51, H43 + SUM(S43:S44) - SUM(T43:T44) - SUM(P43:P44) - V43,0)</f>
        <v>0</v>
      </c>
      <c r="J43" s="535" t="s">
        <v>290</v>
      </c>
      <c r="K43" s="535" t="s">
        <v>289</v>
      </c>
      <c r="L43" s="535" t="s">
        <v>146</v>
      </c>
      <c r="M43" s="535"/>
      <c r="N43" s="290">
        <v>45789</v>
      </c>
      <c r="O43" s="537" t="s">
        <v>183</v>
      </c>
      <c r="P43" s="284">
        <v>14500</v>
      </c>
      <c r="Q43" s="285">
        <v>45791</v>
      </c>
      <c r="R43" s="286"/>
      <c r="S43" s="284"/>
      <c r="T43" s="284"/>
      <c r="U43" s="539"/>
      <c r="V43" s="543"/>
      <c r="W43" s="533"/>
      <c r="X43" s="105">
        <v>51</v>
      </c>
    </row>
    <row r="44" spans="1:24" s="277" customFormat="1" x14ac:dyDescent="0.3">
      <c r="A44" s="559"/>
      <c r="B44" s="536"/>
      <c r="C44" s="536"/>
      <c r="D44" s="536"/>
      <c r="E44" s="536"/>
      <c r="F44" s="538"/>
      <c r="G44" s="536"/>
      <c r="H44" s="540"/>
      <c r="I44" s="542"/>
      <c r="J44" s="536"/>
      <c r="K44" s="536"/>
      <c r="L44" s="536"/>
      <c r="M44" s="536"/>
      <c r="N44" s="291"/>
      <c r="O44" s="538"/>
      <c r="P44" s="287"/>
      <c r="Q44" s="288"/>
      <c r="R44" s="289"/>
      <c r="S44" s="287"/>
      <c r="T44" s="287"/>
      <c r="U44" s="540"/>
      <c r="V44" s="544"/>
      <c r="W44" s="534"/>
      <c r="X44" s="277">
        <v>51</v>
      </c>
    </row>
    <row r="45" spans="1:24" s="105" customFormat="1" ht="144" x14ac:dyDescent="0.3">
      <c r="A45" s="209">
        <v>16</v>
      </c>
      <c r="B45" s="205" t="s">
        <v>56</v>
      </c>
      <c r="C45" s="205" t="s">
        <v>146</v>
      </c>
      <c r="D45" s="205" t="s">
        <v>147</v>
      </c>
      <c r="E45" s="205" t="s">
        <v>293</v>
      </c>
      <c r="F45" s="216">
        <v>45791</v>
      </c>
      <c r="G45" s="205" t="s">
        <v>294</v>
      </c>
      <c r="H45" s="211">
        <v>11063.61</v>
      </c>
      <c r="I45" s="212">
        <f>IF(X45 = 52, H45 + SUM(S45:S45) - SUM(T45:T45) - SUM(P45:P45) - V45,0)</f>
        <v>0</v>
      </c>
      <c r="J45" s="205" t="s">
        <v>295</v>
      </c>
      <c r="K45" s="205" t="s">
        <v>296</v>
      </c>
      <c r="L45" s="205" t="s">
        <v>146</v>
      </c>
      <c r="M45" s="205"/>
      <c r="N45" s="216">
        <v>45791</v>
      </c>
      <c r="O45" s="216" t="s">
        <v>183</v>
      </c>
      <c r="P45" s="211">
        <v>11063.61</v>
      </c>
      <c r="Q45" s="210">
        <v>45792</v>
      </c>
      <c r="R45" s="205"/>
      <c r="S45" s="211"/>
      <c r="T45" s="211"/>
      <c r="U45" s="211"/>
      <c r="V45" s="217"/>
      <c r="W45" s="204"/>
      <c r="X45" s="105">
        <v>52</v>
      </c>
    </row>
    <row r="46" spans="1:24" s="105" customFormat="1" ht="144" x14ac:dyDescent="0.3">
      <c r="A46" s="209">
        <v>17</v>
      </c>
      <c r="B46" s="207" t="s">
        <v>56</v>
      </c>
      <c r="C46" s="207" t="s">
        <v>146</v>
      </c>
      <c r="D46" s="207" t="s">
        <v>147</v>
      </c>
      <c r="E46" s="207" t="s">
        <v>298</v>
      </c>
      <c r="F46" s="225">
        <v>45796</v>
      </c>
      <c r="G46" s="207" t="s">
        <v>299</v>
      </c>
      <c r="H46" s="211">
        <v>35400</v>
      </c>
      <c r="I46" s="212">
        <f>IF(X46 = 53, H46 + SUM(S46:S46) - SUM(T46:T46) - SUM(P46:P46) - V46,0)</f>
        <v>0</v>
      </c>
      <c r="J46" s="207" t="s">
        <v>300</v>
      </c>
      <c r="K46" s="207" t="s">
        <v>301</v>
      </c>
      <c r="L46" s="207" t="s">
        <v>146</v>
      </c>
      <c r="M46" s="207"/>
      <c r="N46" s="225">
        <v>45797</v>
      </c>
      <c r="O46" s="225" t="s">
        <v>183</v>
      </c>
      <c r="P46" s="211">
        <v>35400</v>
      </c>
      <c r="Q46" s="210">
        <v>45812</v>
      </c>
      <c r="R46" s="207"/>
      <c r="S46" s="211"/>
      <c r="T46" s="211"/>
      <c r="U46" s="211"/>
      <c r="V46" s="217"/>
      <c r="W46" s="208"/>
      <c r="X46" s="105">
        <v>53</v>
      </c>
    </row>
    <row r="47" spans="1:24" s="105" customFormat="1" ht="144" customHeight="1" x14ac:dyDescent="0.3">
      <c r="A47" s="560">
        <v>18</v>
      </c>
      <c r="B47" s="566" t="s">
        <v>56</v>
      </c>
      <c r="C47" s="566" t="s">
        <v>146</v>
      </c>
      <c r="D47" s="566" t="s">
        <v>147</v>
      </c>
      <c r="E47" s="566" t="s">
        <v>304</v>
      </c>
      <c r="F47" s="562">
        <v>45813</v>
      </c>
      <c r="G47" s="566" t="s">
        <v>305</v>
      </c>
      <c r="H47" s="564">
        <v>200000</v>
      </c>
      <c r="I47" s="574">
        <f>IF(X47 = 54, H47 + SUM(S47:S48) - SUM(T47:T48) - SUM(P47:P48) - V47,0)</f>
        <v>0</v>
      </c>
      <c r="J47" s="566" t="s">
        <v>306</v>
      </c>
      <c r="K47" s="566" t="s">
        <v>187</v>
      </c>
      <c r="L47" s="566" t="s">
        <v>146</v>
      </c>
      <c r="M47" s="566"/>
      <c r="N47" s="234">
        <v>45817</v>
      </c>
      <c r="O47" s="562" t="s">
        <v>183</v>
      </c>
      <c r="P47" s="228">
        <v>199803</v>
      </c>
      <c r="Q47" s="229">
        <v>45818</v>
      </c>
      <c r="R47" s="230"/>
      <c r="S47" s="228"/>
      <c r="T47" s="228"/>
      <c r="U47" s="564"/>
      <c r="V47" s="568"/>
      <c r="W47" s="578"/>
      <c r="X47" s="105">
        <v>54</v>
      </c>
    </row>
    <row r="48" spans="1:24" s="226" customFormat="1" x14ac:dyDescent="0.3">
      <c r="A48" s="561"/>
      <c r="B48" s="567"/>
      <c r="C48" s="567"/>
      <c r="D48" s="567"/>
      <c r="E48" s="567"/>
      <c r="F48" s="563"/>
      <c r="G48" s="567"/>
      <c r="H48" s="565"/>
      <c r="I48" s="575"/>
      <c r="J48" s="567"/>
      <c r="K48" s="567"/>
      <c r="L48" s="567"/>
      <c r="M48" s="567"/>
      <c r="N48" s="235">
        <v>45817</v>
      </c>
      <c r="O48" s="563"/>
      <c r="P48" s="231">
        <v>197</v>
      </c>
      <c r="Q48" s="232">
        <v>45818</v>
      </c>
      <c r="R48" s="233"/>
      <c r="S48" s="231"/>
      <c r="T48" s="231"/>
      <c r="U48" s="565"/>
      <c r="V48" s="569"/>
      <c r="W48" s="579"/>
      <c r="X48" s="226">
        <v>54</v>
      </c>
    </row>
    <row r="49" spans="1:24" s="105" customFormat="1" ht="144" x14ac:dyDescent="0.3">
      <c r="A49" s="218">
        <v>19</v>
      </c>
      <c r="B49" s="219" t="s">
        <v>56</v>
      </c>
      <c r="C49" s="219" t="s">
        <v>146</v>
      </c>
      <c r="D49" s="219" t="s">
        <v>147</v>
      </c>
      <c r="E49" s="219" t="s">
        <v>307</v>
      </c>
      <c r="F49" s="227">
        <v>45810</v>
      </c>
      <c r="G49" s="219" t="s">
        <v>262</v>
      </c>
      <c r="H49" s="221">
        <v>4000</v>
      </c>
      <c r="I49" s="222">
        <f>IF(X49 = 55, H49 + SUM(S49:S49) - SUM(T49:T49) - SUM(P49:P49) - V49,0)</f>
        <v>0</v>
      </c>
      <c r="J49" s="219" t="s">
        <v>308</v>
      </c>
      <c r="K49" s="219" t="s">
        <v>309</v>
      </c>
      <c r="L49" s="219" t="s">
        <v>146</v>
      </c>
      <c r="M49" s="219"/>
      <c r="N49" s="227">
        <v>45810</v>
      </c>
      <c r="O49" s="227" t="s">
        <v>183</v>
      </c>
      <c r="P49" s="221">
        <v>4000</v>
      </c>
      <c r="Q49" s="220">
        <v>45810</v>
      </c>
      <c r="R49" s="219"/>
      <c r="S49" s="221"/>
      <c r="T49" s="221"/>
      <c r="U49" s="221"/>
      <c r="V49" s="224"/>
      <c r="W49" s="223"/>
      <c r="X49" s="105">
        <v>55</v>
      </c>
    </row>
    <row r="50" spans="1:24" s="105" customFormat="1" ht="144" x14ac:dyDescent="0.3">
      <c r="A50" s="218">
        <v>20</v>
      </c>
      <c r="B50" s="219" t="s">
        <v>56</v>
      </c>
      <c r="C50" s="219" t="s">
        <v>146</v>
      </c>
      <c r="D50" s="219" t="s">
        <v>147</v>
      </c>
      <c r="E50" s="219" t="s">
        <v>310</v>
      </c>
      <c r="F50" s="227">
        <v>45806</v>
      </c>
      <c r="G50" s="219" t="s">
        <v>311</v>
      </c>
      <c r="H50" s="221">
        <v>3243.23</v>
      </c>
      <c r="I50" s="222">
        <f>IF(X50 = 56, H50 + SUM(S50:S50) - SUM(T50:T50) - SUM(P50:P50) - V50,0)</f>
        <v>0</v>
      </c>
      <c r="J50" s="219" t="s">
        <v>312</v>
      </c>
      <c r="K50" s="219" t="s">
        <v>313</v>
      </c>
      <c r="L50" s="219" t="s">
        <v>146</v>
      </c>
      <c r="M50" s="219"/>
      <c r="N50" s="227">
        <v>45806</v>
      </c>
      <c r="O50" s="225" t="s">
        <v>183</v>
      </c>
      <c r="P50" s="221">
        <v>3243.23</v>
      </c>
      <c r="Q50" s="220">
        <v>45812</v>
      </c>
      <c r="R50" s="219"/>
      <c r="S50" s="221"/>
      <c r="T50" s="221"/>
      <c r="U50" s="221"/>
      <c r="V50" s="224"/>
      <c r="W50" s="223"/>
      <c r="X50" s="105">
        <v>56</v>
      </c>
    </row>
    <row r="51" spans="1:24" s="105" customFormat="1" ht="144" x14ac:dyDescent="0.3">
      <c r="A51" s="218">
        <v>21</v>
      </c>
      <c r="B51" s="219" t="s">
        <v>56</v>
      </c>
      <c r="C51" s="219" t="s">
        <v>146</v>
      </c>
      <c r="D51" s="219" t="s">
        <v>147</v>
      </c>
      <c r="E51" s="219" t="s">
        <v>314</v>
      </c>
      <c r="F51" s="227">
        <v>45806</v>
      </c>
      <c r="G51" s="219" t="s">
        <v>315</v>
      </c>
      <c r="H51" s="221">
        <v>3400</v>
      </c>
      <c r="I51" s="222">
        <f>IF(X51 = 57, H51 + SUM(S51:S51) - SUM(T51:T51) - SUM(P51:P51) - V51,0)</f>
        <v>0</v>
      </c>
      <c r="J51" s="219" t="s">
        <v>312</v>
      </c>
      <c r="K51" s="219" t="s">
        <v>313</v>
      </c>
      <c r="L51" s="219" t="s">
        <v>146</v>
      </c>
      <c r="M51" s="219"/>
      <c r="N51" s="227">
        <v>45806</v>
      </c>
      <c r="O51" s="227" t="s">
        <v>183</v>
      </c>
      <c r="P51" s="221">
        <v>3400</v>
      </c>
      <c r="Q51" s="220">
        <v>45818</v>
      </c>
      <c r="R51" s="219"/>
      <c r="S51" s="221"/>
      <c r="T51" s="221"/>
      <c r="U51" s="221"/>
      <c r="V51" s="224"/>
      <c r="W51" s="223"/>
      <c r="X51" s="105">
        <v>57</v>
      </c>
    </row>
    <row r="52" spans="1:24" s="105" customFormat="1" ht="144" x14ac:dyDescent="0.3">
      <c r="A52" s="218">
        <v>22</v>
      </c>
      <c r="B52" s="219" t="s">
        <v>56</v>
      </c>
      <c r="C52" s="219" t="s">
        <v>146</v>
      </c>
      <c r="D52" s="219" t="s">
        <v>147</v>
      </c>
      <c r="E52" s="219" t="s">
        <v>302</v>
      </c>
      <c r="F52" s="227">
        <v>45813</v>
      </c>
      <c r="G52" s="219" t="s">
        <v>316</v>
      </c>
      <c r="H52" s="221">
        <v>5100</v>
      </c>
      <c r="I52" s="222">
        <f>IF(X52 = 58, H52 + SUM(S52:S52) - SUM(T52:T52) - SUM(P52:P52) - V52,0)</f>
        <v>0</v>
      </c>
      <c r="J52" s="219" t="s">
        <v>267</v>
      </c>
      <c r="K52" s="219" t="s">
        <v>266</v>
      </c>
      <c r="L52" s="219" t="s">
        <v>146</v>
      </c>
      <c r="M52" s="219"/>
      <c r="N52" s="227">
        <v>45814</v>
      </c>
      <c r="O52" s="227" t="s">
        <v>183</v>
      </c>
      <c r="P52" s="221">
        <v>5100</v>
      </c>
      <c r="Q52" s="220">
        <v>45818</v>
      </c>
      <c r="R52" s="219"/>
      <c r="S52" s="221"/>
      <c r="T52" s="221"/>
      <c r="U52" s="221"/>
      <c r="V52" s="224"/>
      <c r="W52" s="223"/>
      <c r="X52" s="105">
        <v>58</v>
      </c>
    </row>
    <row r="53" spans="1:24" s="105" customFormat="1" ht="144" customHeight="1" x14ac:dyDescent="0.3">
      <c r="A53" s="516">
        <v>23</v>
      </c>
      <c r="B53" s="504" t="s">
        <v>56</v>
      </c>
      <c r="C53" s="504" t="s">
        <v>146</v>
      </c>
      <c r="D53" s="504" t="s">
        <v>147</v>
      </c>
      <c r="E53" s="504" t="s">
        <v>317</v>
      </c>
      <c r="F53" s="507">
        <v>45818</v>
      </c>
      <c r="G53" s="504" t="s">
        <v>318</v>
      </c>
      <c r="H53" s="510">
        <v>156096</v>
      </c>
      <c r="I53" s="513">
        <f>IF(X53 = 59, H53 + SUM(S53:S55) - SUM(T53:T55) - SUM(P53:P55) - V53,0)</f>
        <v>0</v>
      </c>
      <c r="J53" s="504" t="s">
        <v>319</v>
      </c>
      <c r="K53" s="504" t="s">
        <v>179</v>
      </c>
      <c r="L53" s="504" t="s">
        <v>146</v>
      </c>
      <c r="M53" s="504"/>
      <c r="N53" s="302">
        <v>45842</v>
      </c>
      <c r="O53" s="507" t="s">
        <v>183</v>
      </c>
      <c r="P53" s="293">
        <v>18363.599999999999</v>
      </c>
      <c r="Q53" s="294">
        <v>45853</v>
      </c>
      <c r="R53" s="295"/>
      <c r="S53" s="293"/>
      <c r="T53" s="293"/>
      <c r="U53" s="510"/>
      <c r="V53" s="527"/>
      <c r="W53" s="530"/>
      <c r="X53" s="105">
        <v>59</v>
      </c>
    </row>
    <row r="54" spans="1:24" s="292" customFormat="1" x14ac:dyDescent="0.3">
      <c r="A54" s="517"/>
      <c r="B54" s="505"/>
      <c r="C54" s="505"/>
      <c r="D54" s="505"/>
      <c r="E54" s="505"/>
      <c r="F54" s="508"/>
      <c r="G54" s="505"/>
      <c r="H54" s="511"/>
      <c r="I54" s="514"/>
      <c r="J54" s="505"/>
      <c r="K54" s="505"/>
      <c r="L54" s="505"/>
      <c r="M54" s="505"/>
      <c r="N54" s="302">
        <v>45842</v>
      </c>
      <c r="O54" s="508"/>
      <c r="P54" s="296">
        <v>109150.2</v>
      </c>
      <c r="Q54" s="297">
        <v>45853</v>
      </c>
      <c r="R54" s="298"/>
      <c r="S54" s="296"/>
      <c r="T54" s="296"/>
      <c r="U54" s="511"/>
      <c r="V54" s="528"/>
      <c r="W54" s="531"/>
      <c r="X54" s="292">
        <v>59</v>
      </c>
    </row>
    <row r="55" spans="1:24" s="292" customFormat="1" x14ac:dyDescent="0.3">
      <c r="A55" s="518"/>
      <c r="B55" s="506"/>
      <c r="C55" s="506"/>
      <c r="D55" s="506"/>
      <c r="E55" s="506"/>
      <c r="F55" s="509"/>
      <c r="G55" s="506"/>
      <c r="H55" s="512"/>
      <c r="I55" s="515"/>
      <c r="J55" s="506"/>
      <c r="K55" s="506"/>
      <c r="L55" s="506"/>
      <c r="M55" s="506"/>
      <c r="N55" s="302">
        <v>45842</v>
      </c>
      <c r="O55" s="509"/>
      <c r="P55" s="299">
        <v>28582.2</v>
      </c>
      <c r="Q55" s="300">
        <v>45853</v>
      </c>
      <c r="R55" s="301"/>
      <c r="S55" s="299"/>
      <c r="T55" s="299"/>
      <c r="U55" s="512"/>
      <c r="V55" s="529"/>
      <c r="W55" s="532"/>
      <c r="X55" s="292">
        <v>59</v>
      </c>
    </row>
    <row r="56" spans="1:24" s="105" customFormat="1" ht="144" customHeight="1" x14ac:dyDescent="0.3">
      <c r="A56" s="519">
        <v>24</v>
      </c>
      <c r="B56" s="486" t="s">
        <v>56</v>
      </c>
      <c r="C56" s="486" t="s">
        <v>146</v>
      </c>
      <c r="D56" s="486" t="s">
        <v>147</v>
      </c>
      <c r="E56" s="486" t="s">
        <v>320</v>
      </c>
      <c r="F56" s="490">
        <v>45818</v>
      </c>
      <c r="G56" s="486" t="s">
        <v>321</v>
      </c>
      <c r="H56" s="492">
        <v>17100</v>
      </c>
      <c r="I56" s="494">
        <f>IF(X56 = 60, H56 + SUM(S56:S57) - SUM(T56:T57) - SUM(P56:P57) - V56,0)</f>
        <v>0</v>
      </c>
      <c r="J56" s="486" t="s">
        <v>322</v>
      </c>
      <c r="K56" s="486" t="s">
        <v>323</v>
      </c>
      <c r="L56" s="486" t="s">
        <v>146</v>
      </c>
      <c r="M56" s="486"/>
      <c r="N56" s="386"/>
      <c r="O56" s="490" t="s">
        <v>324</v>
      </c>
      <c r="P56" s="380">
        <v>5130</v>
      </c>
      <c r="Q56" s="381">
        <v>45826</v>
      </c>
      <c r="R56" s="382"/>
      <c r="S56" s="380"/>
      <c r="T56" s="380"/>
      <c r="U56" s="492"/>
      <c r="V56" s="484"/>
      <c r="W56" s="488"/>
      <c r="X56" s="105">
        <v>60</v>
      </c>
    </row>
    <row r="57" spans="1:24" s="379" customFormat="1" x14ac:dyDescent="0.3">
      <c r="A57" s="520"/>
      <c r="B57" s="487"/>
      <c r="C57" s="487"/>
      <c r="D57" s="487"/>
      <c r="E57" s="487"/>
      <c r="F57" s="491"/>
      <c r="G57" s="487"/>
      <c r="H57" s="493"/>
      <c r="I57" s="495"/>
      <c r="J57" s="487"/>
      <c r="K57" s="487"/>
      <c r="L57" s="487"/>
      <c r="M57" s="487"/>
      <c r="N57" s="387">
        <v>45838</v>
      </c>
      <c r="O57" s="491"/>
      <c r="P57" s="383">
        <v>11970</v>
      </c>
      <c r="Q57" s="384">
        <v>45842</v>
      </c>
      <c r="R57" s="385"/>
      <c r="S57" s="383"/>
      <c r="T57" s="383"/>
      <c r="U57" s="493"/>
      <c r="V57" s="485"/>
      <c r="W57" s="489"/>
      <c r="X57" s="379">
        <v>60</v>
      </c>
    </row>
    <row r="58" spans="1:24" s="105" customFormat="1" ht="144" customHeight="1" x14ac:dyDescent="0.3">
      <c r="A58" s="560">
        <v>25</v>
      </c>
      <c r="B58" s="566" t="s">
        <v>56</v>
      </c>
      <c r="C58" s="566" t="s">
        <v>146</v>
      </c>
      <c r="D58" s="566" t="s">
        <v>147</v>
      </c>
      <c r="E58" s="566" t="s">
        <v>325</v>
      </c>
      <c r="F58" s="562">
        <v>45831</v>
      </c>
      <c r="G58" s="566" t="s">
        <v>326</v>
      </c>
      <c r="H58" s="564">
        <v>50500</v>
      </c>
      <c r="I58" s="574">
        <f>IF(X58 = 61, H58 + SUM(S58:S59) - SUM(T58:T59) - SUM(P58:P59) - V58,0)</f>
        <v>0</v>
      </c>
      <c r="J58" s="566" t="s">
        <v>327</v>
      </c>
      <c r="K58" s="566" t="s">
        <v>157</v>
      </c>
      <c r="L58" s="566" t="s">
        <v>146</v>
      </c>
      <c r="M58" s="566"/>
      <c r="N58" s="234">
        <v>45831</v>
      </c>
      <c r="O58" s="562" t="s">
        <v>183</v>
      </c>
      <c r="P58" s="228">
        <v>45000</v>
      </c>
      <c r="Q58" s="229">
        <v>45832</v>
      </c>
      <c r="R58" s="230"/>
      <c r="S58" s="228"/>
      <c r="T58" s="228"/>
      <c r="U58" s="564"/>
      <c r="V58" s="568"/>
      <c r="W58" s="578"/>
      <c r="X58" s="105">
        <v>61</v>
      </c>
    </row>
    <row r="59" spans="1:24" s="226" customFormat="1" x14ac:dyDescent="0.3">
      <c r="A59" s="561"/>
      <c r="B59" s="567"/>
      <c r="C59" s="567"/>
      <c r="D59" s="567"/>
      <c r="E59" s="567"/>
      <c r="F59" s="563"/>
      <c r="G59" s="567"/>
      <c r="H59" s="565"/>
      <c r="I59" s="575"/>
      <c r="J59" s="567"/>
      <c r="K59" s="567"/>
      <c r="L59" s="567"/>
      <c r="M59" s="567"/>
      <c r="N59" s="235">
        <v>45831</v>
      </c>
      <c r="O59" s="563"/>
      <c r="P59" s="231">
        <v>5500</v>
      </c>
      <c r="Q59" s="232">
        <v>45832</v>
      </c>
      <c r="R59" s="233"/>
      <c r="S59" s="231"/>
      <c r="T59" s="231"/>
      <c r="U59" s="565"/>
      <c r="V59" s="569"/>
      <c r="W59" s="579"/>
      <c r="X59" s="226">
        <v>61</v>
      </c>
    </row>
    <row r="60" spans="1:24" s="105" customFormat="1" ht="144" x14ac:dyDescent="0.3">
      <c r="A60" s="266">
        <v>26</v>
      </c>
      <c r="B60" s="267" t="s">
        <v>56</v>
      </c>
      <c r="C60" s="267" t="s">
        <v>146</v>
      </c>
      <c r="D60" s="267" t="s">
        <v>147</v>
      </c>
      <c r="E60" s="267" t="s">
        <v>345</v>
      </c>
      <c r="F60" s="275">
        <v>45848</v>
      </c>
      <c r="G60" s="267" t="s">
        <v>346</v>
      </c>
      <c r="H60" s="269">
        <v>19500</v>
      </c>
      <c r="I60" s="270">
        <f>IF(X60 = 62, H60 + SUM(S60:S60) - SUM(T60:T60) - SUM(P60:P60) - V60,0)</f>
        <v>0</v>
      </c>
      <c r="J60" s="267" t="s">
        <v>347</v>
      </c>
      <c r="K60" s="267" t="s">
        <v>348</v>
      </c>
      <c r="L60" s="267" t="s">
        <v>146</v>
      </c>
      <c r="M60" s="267"/>
      <c r="N60" s="275">
        <v>45848</v>
      </c>
      <c r="O60" s="275" t="s">
        <v>183</v>
      </c>
      <c r="P60" s="269">
        <v>19500</v>
      </c>
      <c r="Q60" s="268">
        <v>45853</v>
      </c>
      <c r="R60" s="267"/>
      <c r="S60" s="269"/>
      <c r="T60" s="269"/>
      <c r="U60" s="269"/>
      <c r="V60" s="276"/>
      <c r="W60" s="274"/>
      <c r="X60" s="105">
        <v>62</v>
      </c>
    </row>
    <row r="61" spans="1:24" s="105" customFormat="1" ht="144" x14ac:dyDescent="0.3">
      <c r="A61" s="266">
        <v>27</v>
      </c>
      <c r="B61" s="267" t="s">
        <v>56</v>
      </c>
      <c r="C61" s="267" t="s">
        <v>146</v>
      </c>
      <c r="D61" s="267" t="s">
        <v>147</v>
      </c>
      <c r="E61" s="267" t="s">
        <v>352</v>
      </c>
      <c r="F61" s="275">
        <v>45852</v>
      </c>
      <c r="G61" s="267" t="s">
        <v>351</v>
      </c>
      <c r="H61" s="269">
        <v>8457.4699999999993</v>
      </c>
      <c r="I61" s="270">
        <f>IF(X61 = 63, H61 + SUM(S61:S61) - SUM(T61:T61) - SUM(P61:P61) - V61,0)</f>
        <v>0</v>
      </c>
      <c r="J61" s="267" t="s">
        <v>350</v>
      </c>
      <c r="K61" s="267" t="s">
        <v>349</v>
      </c>
      <c r="L61" s="267" t="s">
        <v>146</v>
      </c>
      <c r="M61" s="267"/>
      <c r="N61" s="275">
        <v>45863</v>
      </c>
      <c r="O61" s="275" t="s">
        <v>183</v>
      </c>
      <c r="P61" s="269">
        <v>8457.4699999999993</v>
      </c>
      <c r="Q61" s="268">
        <v>45869</v>
      </c>
      <c r="R61" s="267"/>
      <c r="S61" s="269"/>
      <c r="T61" s="269"/>
      <c r="U61" s="269"/>
      <c r="V61" s="276"/>
      <c r="W61" s="274"/>
      <c r="X61" s="105">
        <v>63</v>
      </c>
    </row>
    <row r="62" spans="1:24" s="105" customFormat="1" ht="144" x14ac:dyDescent="0.3">
      <c r="A62" s="313">
        <v>28</v>
      </c>
      <c r="B62" s="314" t="s">
        <v>56</v>
      </c>
      <c r="C62" s="314" t="s">
        <v>146</v>
      </c>
      <c r="D62" s="314" t="s">
        <v>147</v>
      </c>
      <c r="E62" s="314" t="s">
        <v>356</v>
      </c>
      <c r="F62" s="319">
        <v>45867</v>
      </c>
      <c r="G62" s="314" t="s">
        <v>357</v>
      </c>
      <c r="H62" s="316">
        <v>4400</v>
      </c>
      <c r="I62" s="317">
        <f>IF(X62 = 64, H62 + SUM(S62:S62) - SUM(T62:T62) - SUM(P62:P62) - V62,0)</f>
        <v>4400</v>
      </c>
      <c r="J62" s="314" t="s">
        <v>358</v>
      </c>
      <c r="K62" s="314" t="s">
        <v>359</v>
      </c>
      <c r="L62" s="314" t="s">
        <v>146</v>
      </c>
      <c r="M62" s="314"/>
      <c r="N62" s="319"/>
      <c r="O62" s="319" t="s">
        <v>183</v>
      </c>
      <c r="P62" s="316"/>
      <c r="Q62" s="315"/>
      <c r="R62" s="314"/>
      <c r="S62" s="316"/>
      <c r="T62" s="316"/>
      <c r="U62" s="316"/>
      <c r="V62" s="320"/>
      <c r="W62" s="310"/>
      <c r="X62" s="105">
        <v>64</v>
      </c>
    </row>
    <row r="63" spans="1:24" s="105" customFormat="1" ht="144" x14ac:dyDescent="0.3">
      <c r="A63" s="323">
        <v>29</v>
      </c>
      <c r="B63" s="324" t="s">
        <v>56</v>
      </c>
      <c r="C63" s="324" t="s">
        <v>146</v>
      </c>
      <c r="D63" s="324" t="s">
        <v>147</v>
      </c>
      <c r="E63" s="324" t="s">
        <v>317</v>
      </c>
      <c r="F63" s="341">
        <v>45853</v>
      </c>
      <c r="G63" s="324" t="s">
        <v>360</v>
      </c>
      <c r="H63" s="326">
        <v>87644.41</v>
      </c>
      <c r="I63" s="327">
        <f>IF(X63 = 65, H63 + SUM(S63:S63) - SUM(T63:T63) - SUM(P63:P63) - V63,0)</f>
        <v>0</v>
      </c>
      <c r="J63" s="324" t="s">
        <v>363</v>
      </c>
      <c r="K63" s="324" t="s">
        <v>364</v>
      </c>
      <c r="L63" s="324" t="s">
        <v>146</v>
      </c>
      <c r="M63" s="324"/>
      <c r="N63" s="341">
        <v>45859</v>
      </c>
      <c r="O63" s="341" t="s">
        <v>183</v>
      </c>
      <c r="P63" s="326">
        <v>87644.41</v>
      </c>
      <c r="Q63" s="325">
        <v>45869</v>
      </c>
      <c r="R63" s="324"/>
      <c r="S63" s="326"/>
      <c r="T63" s="326"/>
      <c r="U63" s="326"/>
      <c r="V63" s="342"/>
      <c r="W63" s="331"/>
      <c r="X63" s="105">
        <v>65</v>
      </c>
    </row>
    <row r="64" spans="1:24" s="105" customFormat="1" ht="144" customHeight="1" x14ac:dyDescent="0.3">
      <c r="A64" s="496">
        <v>30</v>
      </c>
      <c r="B64" s="502" t="s">
        <v>56</v>
      </c>
      <c r="C64" s="502" t="s">
        <v>146</v>
      </c>
      <c r="D64" s="502" t="s">
        <v>147</v>
      </c>
      <c r="E64" s="502" t="s">
        <v>365</v>
      </c>
      <c r="F64" s="498">
        <v>45875</v>
      </c>
      <c r="G64" s="502" t="s">
        <v>326</v>
      </c>
      <c r="H64" s="500">
        <v>30500</v>
      </c>
      <c r="I64" s="525">
        <f>IF(X64 = 66, H64 + SUM(S64:S65) - SUM(T64:T65) - SUM(P64:P65) - V64,0)</f>
        <v>0</v>
      </c>
      <c r="J64" s="502" t="s">
        <v>327</v>
      </c>
      <c r="K64" s="502" t="s">
        <v>157</v>
      </c>
      <c r="L64" s="502" t="s">
        <v>146</v>
      </c>
      <c r="M64" s="502"/>
      <c r="N64" s="363">
        <v>45875</v>
      </c>
      <c r="O64" s="498" t="s">
        <v>183</v>
      </c>
      <c r="P64" s="354">
        <v>25000</v>
      </c>
      <c r="Q64" s="355">
        <v>45882</v>
      </c>
      <c r="R64" s="356"/>
      <c r="S64" s="354"/>
      <c r="T64" s="354"/>
      <c r="U64" s="500"/>
      <c r="V64" s="521"/>
      <c r="W64" s="523"/>
      <c r="X64" s="105">
        <v>66</v>
      </c>
    </row>
    <row r="65" spans="1:24" s="343" customFormat="1" x14ac:dyDescent="0.3">
      <c r="A65" s="497"/>
      <c r="B65" s="503"/>
      <c r="C65" s="503"/>
      <c r="D65" s="503"/>
      <c r="E65" s="503"/>
      <c r="F65" s="499"/>
      <c r="G65" s="503"/>
      <c r="H65" s="501"/>
      <c r="I65" s="526"/>
      <c r="J65" s="503"/>
      <c r="K65" s="503"/>
      <c r="L65" s="503"/>
      <c r="M65" s="503"/>
      <c r="N65" s="365">
        <v>45875</v>
      </c>
      <c r="O65" s="499"/>
      <c r="P65" s="360">
        <v>5500</v>
      </c>
      <c r="Q65" s="361">
        <v>45882</v>
      </c>
      <c r="R65" s="362"/>
      <c r="S65" s="360"/>
      <c r="T65" s="360"/>
      <c r="U65" s="501"/>
      <c r="V65" s="522"/>
      <c r="W65" s="524"/>
      <c r="X65" s="343">
        <v>66</v>
      </c>
    </row>
    <row r="66" spans="1:24" s="105" customFormat="1" ht="144" x14ac:dyDescent="0.3">
      <c r="A66" s="323">
        <v>31</v>
      </c>
      <c r="B66" s="324" t="s">
        <v>56</v>
      </c>
      <c r="C66" s="324" t="s">
        <v>146</v>
      </c>
      <c r="D66" s="324" t="s">
        <v>147</v>
      </c>
      <c r="E66" s="324" t="s">
        <v>258</v>
      </c>
      <c r="F66" s="341">
        <v>45888</v>
      </c>
      <c r="G66" s="324" t="s">
        <v>366</v>
      </c>
      <c r="H66" s="326">
        <v>34500</v>
      </c>
      <c r="I66" s="327">
        <f>IF(X66 = 67, H66 + SUM(S66:S66) - SUM(T66:T66) - SUM(P66:P66) - V66,0)</f>
        <v>0</v>
      </c>
      <c r="J66" s="324" t="s">
        <v>367</v>
      </c>
      <c r="K66" s="324" t="s">
        <v>158</v>
      </c>
      <c r="L66" s="324" t="s">
        <v>146</v>
      </c>
      <c r="M66" s="324"/>
      <c r="N66" s="341">
        <v>45888</v>
      </c>
      <c r="O66" s="341" t="s">
        <v>183</v>
      </c>
      <c r="P66" s="326">
        <v>34500</v>
      </c>
      <c r="Q66" s="325">
        <v>45889</v>
      </c>
      <c r="R66" s="324"/>
      <c r="S66" s="326"/>
      <c r="T66" s="326"/>
      <c r="U66" s="326"/>
      <c r="V66" s="342"/>
      <c r="W66" s="331"/>
      <c r="X66" s="105">
        <v>67</v>
      </c>
    </row>
    <row r="67" spans="1:24" s="105" customFormat="1" ht="144" x14ac:dyDescent="0.3">
      <c r="A67" s="323">
        <v>32</v>
      </c>
      <c r="B67" s="324" t="s">
        <v>56</v>
      </c>
      <c r="C67" s="324" t="s">
        <v>146</v>
      </c>
      <c r="D67" s="324" t="s">
        <v>147</v>
      </c>
      <c r="E67" s="324" t="s">
        <v>258</v>
      </c>
      <c r="F67" s="341">
        <v>45883</v>
      </c>
      <c r="G67" s="324" t="s">
        <v>370</v>
      </c>
      <c r="H67" s="326">
        <v>23297.22</v>
      </c>
      <c r="I67" s="327">
        <f>IF(X67 = 68, H67 + SUM(S67:S67) - SUM(T67:T67) - SUM(P67:P67) - V67,0)</f>
        <v>0</v>
      </c>
      <c r="J67" s="324" t="s">
        <v>369</v>
      </c>
      <c r="K67" s="324" t="s">
        <v>368</v>
      </c>
      <c r="L67" s="324" t="s">
        <v>146</v>
      </c>
      <c r="M67" s="324"/>
      <c r="N67" s="341">
        <v>45883</v>
      </c>
      <c r="O67" s="341" t="s">
        <v>183</v>
      </c>
      <c r="P67" s="326">
        <v>23297.22</v>
      </c>
      <c r="Q67" s="325">
        <v>45894</v>
      </c>
      <c r="R67" s="324"/>
      <c r="S67" s="326"/>
      <c r="T67" s="326"/>
      <c r="U67" s="326"/>
      <c r="V67" s="342"/>
      <c r="W67" s="331"/>
      <c r="X67" s="105">
        <v>68</v>
      </c>
    </row>
    <row r="68" spans="1:24" s="105" customFormat="1" ht="144" x14ac:dyDescent="0.3">
      <c r="A68" s="370">
        <v>33</v>
      </c>
      <c r="B68" s="371" t="s">
        <v>56</v>
      </c>
      <c r="C68" s="371" t="s">
        <v>146</v>
      </c>
      <c r="D68" s="371" t="s">
        <v>147</v>
      </c>
      <c r="E68" s="371" t="s">
        <v>376</v>
      </c>
      <c r="F68" s="378">
        <v>45897</v>
      </c>
      <c r="G68" s="371" t="s">
        <v>377</v>
      </c>
      <c r="H68" s="373">
        <v>19000</v>
      </c>
      <c r="I68" s="374">
        <f>IF(X68 = 69, H68 + SUM(S68:S68) - SUM(T68:T68) - SUM(P68:P68) - V68,0)</f>
        <v>0</v>
      </c>
      <c r="J68" s="371" t="s">
        <v>378</v>
      </c>
      <c r="K68" s="371" t="s">
        <v>379</v>
      </c>
      <c r="L68" s="371" t="s">
        <v>146</v>
      </c>
      <c r="M68" s="371"/>
      <c r="N68" s="378">
        <v>45897</v>
      </c>
      <c r="O68" s="378" t="s">
        <v>183</v>
      </c>
      <c r="P68" s="373">
        <v>19000</v>
      </c>
      <c r="Q68" s="372">
        <v>45909</v>
      </c>
      <c r="R68" s="371"/>
      <c r="S68" s="373"/>
      <c r="T68" s="373"/>
      <c r="U68" s="373"/>
      <c r="V68" s="377"/>
      <c r="W68" s="369"/>
      <c r="X68" s="105">
        <v>69</v>
      </c>
    </row>
    <row r="69" spans="1:24" x14ac:dyDescent="0.3">
      <c r="A69" s="128"/>
      <c r="B69" s="129"/>
      <c r="C69" s="130"/>
      <c r="D69" s="130"/>
      <c r="E69" s="163"/>
      <c r="F69" s="142"/>
      <c r="G69" s="130"/>
      <c r="H69" s="134"/>
      <c r="I69" s="135">
        <f>IF(X69 = 35, H69 + SUM(S69:S69) - SUM(T69:T69) - SUM(P69:P69) - V69,0)</f>
        <v>0</v>
      </c>
      <c r="J69" s="130"/>
      <c r="K69" s="130"/>
      <c r="L69" s="130"/>
      <c r="M69" s="130"/>
      <c r="N69" s="142"/>
      <c r="O69" s="142"/>
      <c r="P69" s="134"/>
      <c r="Q69" s="131"/>
      <c r="R69" s="133"/>
      <c r="S69" s="134"/>
      <c r="T69" s="134"/>
      <c r="U69" s="134"/>
      <c r="V69" s="132"/>
      <c r="W69" s="133"/>
      <c r="X69" s="8">
        <v>70</v>
      </c>
    </row>
    <row r="70" spans="1:24" s="2" customFormat="1" x14ac:dyDescent="0.3">
      <c r="A70" s="41"/>
      <c r="B70" s="107"/>
      <c r="C70" s="41"/>
      <c r="D70" s="41"/>
      <c r="E70" s="42"/>
      <c r="F70" s="41"/>
      <c r="G70" s="41"/>
      <c r="H70" s="44"/>
      <c r="I70" s="44"/>
      <c r="J70" s="41"/>
      <c r="K70" s="41"/>
      <c r="L70" s="41"/>
      <c r="M70" s="41"/>
      <c r="N70" s="42"/>
      <c r="O70" s="41"/>
      <c r="P70" s="40"/>
      <c r="Q70" s="42"/>
      <c r="U70" s="42"/>
      <c r="V70" s="40"/>
    </row>
    <row r="71" spans="1:24" s="2" customFormat="1" x14ac:dyDescent="0.3">
      <c r="A71" s="41"/>
      <c r="B71" s="107"/>
      <c r="C71" s="41"/>
      <c r="D71" s="41"/>
      <c r="E71" s="42"/>
      <c r="F71" s="41"/>
      <c r="G71" s="41"/>
      <c r="H71" s="44"/>
      <c r="I71" s="44"/>
      <c r="J71" s="41"/>
      <c r="K71" s="41"/>
      <c r="L71" s="41"/>
      <c r="M71" s="41"/>
      <c r="N71" s="42"/>
      <c r="O71" s="41"/>
      <c r="P71" s="40"/>
      <c r="Q71" s="42"/>
      <c r="U71" s="42"/>
      <c r="V71" s="40"/>
    </row>
    <row r="72" spans="1:24" s="2" customFormat="1" x14ac:dyDescent="0.3">
      <c r="A72" s="41"/>
      <c r="B72" s="107"/>
      <c r="C72" s="41"/>
      <c r="D72" s="41"/>
      <c r="E72" s="42"/>
      <c r="F72" s="41"/>
      <c r="G72" s="41"/>
      <c r="H72" s="44"/>
      <c r="I72" s="44"/>
      <c r="J72" s="41"/>
      <c r="K72" s="41"/>
      <c r="L72" s="41"/>
      <c r="M72" s="41"/>
      <c r="N72" s="42"/>
      <c r="O72" s="41"/>
      <c r="P72" s="40"/>
      <c r="Q72" s="42"/>
      <c r="U72" s="42"/>
      <c r="V72" s="40"/>
    </row>
    <row r="73" spans="1:24" s="2" customFormat="1" x14ac:dyDescent="0.3">
      <c r="A73" s="41"/>
      <c r="B73" s="107"/>
      <c r="C73" s="41"/>
      <c r="D73" s="41"/>
      <c r="E73" s="42"/>
      <c r="F73" s="41"/>
      <c r="G73" s="41"/>
      <c r="H73" s="44"/>
      <c r="I73" s="44"/>
      <c r="J73" s="41"/>
      <c r="K73" s="41"/>
      <c r="L73" s="41"/>
      <c r="M73" s="41"/>
      <c r="N73" s="42"/>
      <c r="O73" s="41"/>
      <c r="P73" s="40"/>
      <c r="Q73" s="42"/>
      <c r="U73" s="42"/>
      <c r="V73" s="40"/>
    </row>
    <row r="74" spans="1:24" s="2" customFormat="1" x14ac:dyDescent="0.3">
      <c r="A74" s="41"/>
      <c r="B74" s="107"/>
      <c r="C74" s="41"/>
      <c r="D74" s="41"/>
      <c r="E74" s="42"/>
      <c r="F74" s="41"/>
      <c r="G74" s="41"/>
      <c r="H74" s="44"/>
      <c r="I74" s="44"/>
      <c r="J74" s="41"/>
      <c r="K74" s="41"/>
      <c r="L74" s="41"/>
      <c r="M74" s="41"/>
      <c r="N74" s="42"/>
      <c r="O74" s="41"/>
      <c r="P74" s="40"/>
      <c r="Q74" s="42"/>
      <c r="U74" s="42"/>
      <c r="V74" s="40"/>
    </row>
  </sheetData>
  <sheetProtection password="EB34" sheet="1" objects="1" scenarios="1" formatCells="0" formatColumns="0" formatRows="0"/>
  <mergeCells count="160">
    <mergeCell ref="V9:V16"/>
    <mergeCell ref="C9:C16"/>
    <mergeCell ref="W9:W16"/>
    <mergeCell ref="D9:D16"/>
    <mergeCell ref="E9:E16"/>
    <mergeCell ref="F9:F16"/>
    <mergeCell ref="G9:G16"/>
    <mergeCell ref="H9:H16"/>
    <mergeCell ref="I9:I16"/>
    <mergeCell ref="J9:J16"/>
    <mergeCell ref="K9:K16"/>
    <mergeCell ref="L9:L16"/>
    <mergeCell ref="M9:M16"/>
    <mergeCell ref="V20:V32"/>
    <mergeCell ref="C20:C32"/>
    <mergeCell ref="W20:W32"/>
    <mergeCell ref="D20:D32"/>
    <mergeCell ref="E20:E32"/>
    <mergeCell ref="F20:F32"/>
    <mergeCell ref="G20:G32"/>
    <mergeCell ref="H20:H32"/>
    <mergeCell ref="I20:I32"/>
    <mergeCell ref="J20:J32"/>
    <mergeCell ref="K20:K32"/>
    <mergeCell ref="L20:L32"/>
    <mergeCell ref="M20:M32"/>
    <mergeCell ref="W36:W37"/>
    <mergeCell ref="D36:D37"/>
    <mergeCell ref="E36:E37"/>
    <mergeCell ref="F36:F37"/>
    <mergeCell ref="G36:G37"/>
    <mergeCell ref="A58:A59"/>
    <mergeCell ref="O58:O59"/>
    <mergeCell ref="U58:U59"/>
    <mergeCell ref="B58:B59"/>
    <mergeCell ref="V58:V59"/>
    <mergeCell ref="C58:C59"/>
    <mergeCell ref="W58:W59"/>
    <mergeCell ref="D58:D59"/>
    <mergeCell ref="E58:E59"/>
    <mergeCell ref="F58:F59"/>
    <mergeCell ref="G58:G59"/>
    <mergeCell ref="H58:H59"/>
    <mergeCell ref="I58:I59"/>
    <mergeCell ref="J58:J59"/>
    <mergeCell ref="K58:K59"/>
    <mergeCell ref="L58:L59"/>
    <mergeCell ref="M58:M59"/>
    <mergeCell ref="W47:W48"/>
    <mergeCell ref="D47:D48"/>
    <mergeCell ref="V36:V37"/>
    <mergeCell ref="C36:C37"/>
    <mergeCell ref="H36:H37"/>
    <mergeCell ref="I36:I37"/>
    <mergeCell ref="E47:E48"/>
    <mergeCell ref="F47:F48"/>
    <mergeCell ref="G47:G48"/>
    <mergeCell ref="H47:H48"/>
    <mergeCell ref="I47:I48"/>
    <mergeCell ref="J47:J48"/>
    <mergeCell ref="K47:K48"/>
    <mergeCell ref="L47:L48"/>
    <mergeCell ref="M47:M48"/>
    <mergeCell ref="K36:K37"/>
    <mergeCell ref="L36:L37"/>
    <mergeCell ref="M36:M37"/>
    <mergeCell ref="A43:A44"/>
    <mergeCell ref="O43:O44"/>
    <mergeCell ref="U43:U44"/>
    <mergeCell ref="B43:B44"/>
    <mergeCell ref="A47:A48"/>
    <mergeCell ref="O47:O48"/>
    <mergeCell ref="U47:U48"/>
    <mergeCell ref="B47:B48"/>
    <mergeCell ref="V47:V48"/>
    <mergeCell ref="C47:C48"/>
    <mergeCell ref="A3:E3"/>
    <mergeCell ref="S2:U2"/>
    <mergeCell ref="N2:O2"/>
    <mergeCell ref="J4:K4"/>
    <mergeCell ref="M4:N4"/>
    <mergeCell ref="O4:P4"/>
    <mergeCell ref="K2:M2"/>
    <mergeCell ref="A36:A37"/>
    <mergeCell ref="O36:O37"/>
    <mergeCell ref="U36:U37"/>
    <mergeCell ref="B36:B37"/>
    <mergeCell ref="J36:J37"/>
    <mergeCell ref="A20:A32"/>
    <mergeCell ref="O20:O32"/>
    <mergeCell ref="U20:U32"/>
    <mergeCell ref="B20:B32"/>
    <mergeCell ref="A9:A16"/>
    <mergeCell ref="O9:O16"/>
    <mergeCell ref="U9:U16"/>
    <mergeCell ref="B9:B16"/>
    <mergeCell ref="V53:V55"/>
    <mergeCell ref="C53:C55"/>
    <mergeCell ref="W53:W55"/>
    <mergeCell ref="W43:W44"/>
    <mergeCell ref="D43:D44"/>
    <mergeCell ref="E43:E44"/>
    <mergeCell ref="F43:F44"/>
    <mergeCell ref="G43:G44"/>
    <mergeCell ref="H43:H44"/>
    <mergeCell ref="I43:I44"/>
    <mergeCell ref="J43:J44"/>
    <mergeCell ref="K43:K44"/>
    <mergeCell ref="L43:L44"/>
    <mergeCell ref="M43:M44"/>
    <mergeCell ref="V43:V44"/>
    <mergeCell ref="C43:C44"/>
    <mergeCell ref="V64:V65"/>
    <mergeCell ref="C64:C65"/>
    <mergeCell ref="W64:W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A64:A65"/>
    <mergeCell ref="O64:O65"/>
    <mergeCell ref="U64:U65"/>
    <mergeCell ref="B64:B65"/>
    <mergeCell ref="M53:M55"/>
    <mergeCell ref="D53:D55"/>
    <mergeCell ref="E53:E55"/>
    <mergeCell ref="F53:F55"/>
    <mergeCell ref="G53:G55"/>
    <mergeCell ref="H53:H55"/>
    <mergeCell ref="I53:I55"/>
    <mergeCell ref="J53:J55"/>
    <mergeCell ref="K53:K55"/>
    <mergeCell ref="L53:L55"/>
    <mergeCell ref="A53:A55"/>
    <mergeCell ref="O53:O55"/>
    <mergeCell ref="U53:U55"/>
    <mergeCell ref="B53:B55"/>
    <mergeCell ref="A56:A57"/>
    <mergeCell ref="O56:O57"/>
    <mergeCell ref="U56:U57"/>
    <mergeCell ref="B56:B57"/>
    <mergeCell ref="V56:V57"/>
    <mergeCell ref="C56:C57"/>
    <mergeCell ref="W56:W57"/>
    <mergeCell ref="D56:D57"/>
    <mergeCell ref="E56:E57"/>
    <mergeCell ref="F56:F57"/>
    <mergeCell ref="G56:G57"/>
    <mergeCell ref="H56:H57"/>
    <mergeCell ref="I56:I57"/>
    <mergeCell ref="J56:J57"/>
    <mergeCell ref="K56:K57"/>
    <mergeCell ref="L56:L57"/>
    <mergeCell ref="M56:M5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</sheetPr>
  <dimension ref="A1:X200"/>
  <sheetViews>
    <sheetView showGridLines="0" topLeftCell="H1" zoomScale="50" zoomScaleNormal="50" workbookViewId="0">
      <pane ySplit="8" topLeftCell="A9" activePane="bottomLeft" state="frozen"/>
      <selection pane="bottomLeft" activeCell="R20" sqref="R20"/>
    </sheetView>
  </sheetViews>
  <sheetFormatPr defaultColWidth="0" defaultRowHeight="18" x14ac:dyDescent="0.3"/>
  <cols>
    <col min="1" max="1" width="14" style="3" customWidth="1"/>
    <col min="2" max="2" width="40.33203125" style="3" customWidth="1"/>
    <col min="3" max="3" width="34" style="3" customWidth="1"/>
    <col min="4" max="4" width="25.44140625" style="3" customWidth="1"/>
    <col min="5" max="5" width="23.88671875" style="3" customWidth="1"/>
    <col min="6" max="6" width="32.44140625" style="3" customWidth="1"/>
    <col min="7" max="7" width="27.44140625" style="12" customWidth="1"/>
    <col min="8" max="8" width="38.44140625" style="3" bestFit="1" customWidth="1"/>
    <col min="9" max="9" width="33" style="3" customWidth="1"/>
    <col min="10" max="11" width="27.33203125" style="32" customWidth="1"/>
    <col min="12" max="12" width="21.44140625" style="3" customWidth="1"/>
    <col min="13" max="13" width="26.5546875" style="3" customWidth="1"/>
    <col min="14" max="14" width="28.109375" style="12" customWidth="1"/>
    <col min="15" max="15" width="39.33203125" style="3" customWidth="1"/>
    <col min="16" max="16" width="24.6640625" style="32" customWidth="1"/>
    <col min="17" max="17" width="24.44140625" style="12" customWidth="1"/>
    <col min="18" max="18" width="23.44140625" style="3" customWidth="1"/>
    <col min="19" max="19" width="25.6640625" style="3" customWidth="1"/>
    <col min="20" max="20" width="26" style="3" customWidth="1"/>
    <col min="21" max="21" width="23.6640625" style="12" customWidth="1"/>
    <col min="22" max="22" width="24" style="11" customWidth="1"/>
    <col min="23" max="23" width="21.88671875" style="8" customWidth="1"/>
    <col min="24" max="16384" width="9.109375" style="8" hidden="1"/>
  </cols>
  <sheetData>
    <row r="1" spans="1:24" ht="18.600000000000001" thickBot="1" x14ac:dyDescent="0.35"/>
    <row r="2" spans="1:24" ht="39.9" customHeight="1" thickBot="1" x14ac:dyDescent="0.35">
      <c r="E2" s="86"/>
      <c r="F2" s="704" t="s">
        <v>24</v>
      </c>
      <c r="G2" s="705"/>
      <c r="H2" s="98">
        <f>SUM(H9:H10000)</f>
        <v>4605608.84</v>
      </c>
      <c r="I2" s="86"/>
      <c r="J2" s="39"/>
      <c r="N2" s="546" t="s">
        <v>137</v>
      </c>
      <c r="O2" s="548"/>
      <c r="P2" s="87">
        <f>SUM(P9:P10000)</f>
        <v>2643938.3700000015</v>
      </c>
      <c r="R2" s="86"/>
      <c r="S2" s="546" t="s">
        <v>45</v>
      </c>
      <c r="T2" s="547"/>
      <c r="U2" s="548"/>
      <c r="V2" s="88">
        <f>SUM(V9:V10000)</f>
        <v>560778.49</v>
      </c>
    </row>
    <row r="3" spans="1:24" x14ac:dyDescent="0.3">
      <c r="F3" s="38"/>
      <c r="G3" s="38"/>
      <c r="H3" s="38"/>
      <c r="I3" s="38"/>
      <c r="J3" s="39"/>
      <c r="K3" s="40"/>
      <c r="L3" s="41"/>
      <c r="M3" s="41"/>
      <c r="N3" s="38"/>
      <c r="O3" s="38"/>
      <c r="P3" s="39"/>
      <c r="Q3" s="42"/>
      <c r="R3" s="38"/>
      <c r="S3" s="38"/>
      <c r="T3" s="38"/>
      <c r="U3" s="38"/>
      <c r="V3" s="43"/>
    </row>
    <row r="4" spans="1:24" ht="39.9" customHeight="1" x14ac:dyDescent="0.3">
      <c r="F4" s="38"/>
      <c r="G4" s="38"/>
      <c r="H4" s="38"/>
      <c r="I4" s="38"/>
      <c r="J4" s="39"/>
      <c r="K4" s="40"/>
      <c r="L4" s="41"/>
      <c r="M4" s="41"/>
      <c r="N4" s="38"/>
      <c r="O4" s="38"/>
      <c r="P4" s="39"/>
      <c r="Q4" s="42"/>
      <c r="R4" s="38"/>
      <c r="S4" s="38"/>
      <c r="T4" s="38"/>
      <c r="U4" s="38"/>
      <c r="V4" s="43"/>
    </row>
    <row r="6" spans="1:24" ht="76.95" customHeight="1" x14ac:dyDescent="0.3">
      <c r="A6" s="23" t="s">
        <v>8</v>
      </c>
      <c r="B6" s="23" t="s">
        <v>47</v>
      </c>
      <c r="C6" s="23" t="s">
        <v>145</v>
      </c>
      <c r="D6" s="23" t="s">
        <v>10</v>
      </c>
      <c r="E6" s="23" t="s">
        <v>1</v>
      </c>
      <c r="F6" s="23" t="s">
        <v>2</v>
      </c>
      <c r="G6" s="30" t="s">
        <v>3</v>
      </c>
      <c r="H6" s="23" t="s">
        <v>4</v>
      </c>
      <c r="I6" s="23" t="s">
        <v>22</v>
      </c>
      <c r="J6" s="33" t="s">
        <v>46</v>
      </c>
      <c r="K6" s="33" t="s">
        <v>5</v>
      </c>
      <c r="L6" s="23" t="s">
        <v>106</v>
      </c>
      <c r="M6" s="23" t="s">
        <v>39</v>
      </c>
      <c r="N6" s="30" t="s">
        <v>37</v>
      </c>
      <c r="O6" s="23" t="s">
        <v>6</v>
      </c>
      <c r="P6" s="33" t="s">
        <v>23</v>
      </c>
      <c r="Q6" s="30" t="s">
        <v>9</v>
      </c>
      <c r="R6" s="28" t="s">
        <v>40</v>
      </c>
      <c r="S6" s="28" t="s">
        <v>103</v>
      </c>
      <c r="T6" s="28" t="s">
        <v>104</v>
      </c>
      <c r="U6" s="27" t="s">
        <v>41</v>
      </c>
      <c r="V6" s="31" t="s">
        <v>43</v>
      </c>
      <c r="W6" s="1" t="s">
        <v>42</v>
      </c>
    </row>
    <row r="7" spans="1:24" ht="17.399999999999999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</row>
    <row r="8" spans="1:24" s="18" customFormat="1" ht="108" hidden="1" x14ac:dyDescent="0.3">
      <c r="A8" s="26" t="s">
        <v>36</v>
      </c>
      <c r="B8" s="26" t="s">
        <v>56</v>
      </c>
      <c r="C8" s="26"/>
      <c r="D8" s="26" t="s">
        <v>58</v>
      </c>
      <c r="E8" s="26" t="s">
        <v>57</v>
      </c>
      <c r="F8" s="77">
        <v>43839</v>
      </c>
      <c r="G8" s="25" t="s">
        <v>59</v>
      </c>
      <c r="H8" s="24">
        <v>20000</v>
      </c>
      <c r="I8" s="24">
        <v>0</v>
      </c>
      <c r="J8" s="76">
        <v>2353019514</v>
      </c>
      <c r="K8" s="34" t="s">
        <v>61</v>
      </c>
      <c r="L8" s="26"/>
      <c r="M8" s="26" t="s">
        <v>62</v>
      </c>
      <c r="N8" s="25">
        <v>43840</v>
      </c>
      <c r="O8" s="26" t="s">
        <v>63</v>
      </c>
      <c r="P8" s="34">
        <v>20000</v>
      </c>
      <c r="Q8" s="25">
        <v>43840</v>
      </c>
      <c r="R8" s="26"/>
      <c r="S8" s="72"/>
      <c r="T8" s="72"/>
      <c r="U8" s="25"/>
      <c r="V8" s="24"/>
      <c r="W8" s="13" t="s">
        <v>64</v>
      </c>
    </row>
    <row r="9" spans="1:24" s="106" customFormat="1" ht="90" customHeight="1" x14ac:dyDescent="0.3">
      <c r="A9" s="550">
        <v>1</v>
      </c>
      <c r="B9" s="556" t="s">
        <v>56</v>
      </c>
      <c r="C9" s="556" t="s">
        <v>162</v>
      </c>
      <c r="D9" s="556" t="s">
        <v>147</v>
      </c>
      <c r="E9" s="556" t="s">
        <v>199</v>
      </c>
      <c r="F9" s="552">
        <v>45654</v>
      </c>
      <c r="G9" s="735" t="s">
        <v>163</v>
      </c>
      <c r="H9" s="554">
        <v>290000</v>
      </c>
      <c r="I9" s="572">
        <f>IF(X9 = 18, H9 + SUM(S9:S11) - SUM(T9:T11) - SUM(P9:P11) - V9,0)</f>
        <v>0</v>
      </c>
      <c r="J9" s="739">
        <v>2310195709</v>
      </c>
      <c r="K9" s="627" t="s">
        <v>200</v>
      </c>
      <c r="L9" s="556" t="s">
        <v>146</v>
      </c>
      <c r="M9" s="556"/>
      <c r="N9" s="201">
        <v>45688</v>
      </c>
      <c r="O9" s="552" t="s">
        <v>183</v>
      </c>
      <c r="P9" s="192">
        <v>59560.23</v>
      </c>
      <c r="Q9" s="193">
        <v>45699</v>
      </c>
      <c r="R9" s="194"/>
      <c r="S9" s="192"/>
      <c r="T9" s="192"/>
      <c r="U9" s="554"/>
      <c r="V9" s="731">
        <v>117434.09</v>
      </c>
      <c r="W9" s="576"/>
      <c r="X9" s="106">
        <v>18</v>
      </c>
    </row>
    <row r="10" spans="1:24" s="2" customFormat="1" x14ac:dyDescent="0.3">
      <c r="A10" s="626"/>
      <c r="B10" s="625"/>
      <c r="C10" s="625"/>
      <c r="D10" s="625"/>
      <c r="E10" s="625"/>
      <c r="F10" s="730"/>
      <c r="G10" s="736"/>
      <c r="H10" s="630"/>
      <c r="I10" s="738"/>
      <c r="J10" s="740"/>
      <c r="K10" s="628"/>
      <c r="L10" s="625"/>
      <c r="M10" s="625"/>
      <c r="N10" s="202">
        <v>45716</v>
      </c>
      <c r="O10" s="730"/>
      <c r="P10" s="195">
        <v>68605.929999999993</v>
      </c>
      <c r="Q10" s="196">
        <v>45727</v>
      </c>
      <c r="R10" s="197"/>
      <c r="S10" s="195"/>
      <c r="T10" s="195"/>
      <c r="U10" s="630"/>
      <c r="V10" s="732"/>
      <c r="W10" s="734"/>
      <c r="X10" s="2">
        <v>18</v>
      </c>
    </row>
    <row r="11" spans="1:24" s="2" customFormat="1" x14ac:dyDescent="0.3">
      <c r="A11" s="551"/>
      <c r="B11" s="557"/>
      <c r="C11" s="557"/>
      <c r="D11" s="557"/>
      <c r="E11" s="557"/>
      <c r="F11" s="553"/>
      <c r="G11" s="737"/>
      <c r="H11" s="555"/>
      <c r="I11" s="573"/>
      <c r="J11" s="741"/>
      <c r="K11" s="629"/>
      <c r="L11" s="557"/>
      <c r="M11" s="557"/>
      <c r="N11" s="203">
        <v>45747</v>
      </c>
      <c r="O11" s="553"/>
      <c r="P11" s="198">
        <v>44399.75</v>
      </c>
      <c r="Q11" s="199">
        <v>45755</v>
      </c>
      <c r="R11" s="200"/>
      <c r="S11" s="198"/>
      <c r="T11" s="198"/>
      <c r="U11" s="555"/>
      <c r="V11" s="733"/>
      <c r="W11" s="577"/>
      <c r="X11" s="2">
        <v>18</v>
      </c>
    </row>
    <row r="12" spans="1:24" s="106" customFormat="1" ht="36" customHeight="1" x14ac:dyDescent="0.3">
      <c r="A12" s="580">
        <v>2</v>
      </c>
      <c r="B12" s="589" t="s">
        <v>56</v>
      </c>
      <c r="C12" s="589" t="s">
        <v>146</v>
      </c>
      <c r="D12" s="589" t="s">
        <v>147</v>
      </c>
      <c r="E12" s="589" t="s">
        <v>113</v>
      </c>
      <c r="F12" s="583">
        <v>45655</v>
      </c>
      <c r="G12" s="631" t="s">
        <v>165</v>
      </c>
      <c r="H12" s="586">
        <v>44000</v>
      </c>
      <c r="I12" s="601">
        <f>IF(X12 = 19, H12 + SUM(S12:S20) - SUM(T12:T20) - SUM(P12:P20) - V12,0)</f>
        <v>29441.84</v>
      </c>
      <c r="J12" s="634">
        <v>2353246210</v>
      </c>
      <c r="K12" s="637" t="s">
        <v>150</v>
      </c>
      <c r="L12" s="589" t="s">
        <v>146</v>
      </c>
      <c r="M12" s="589"/>
      <c r="N12" s="420">
        <v>45674</v>
      </c>
      <c r="O12" s="583" t="s">
        <v>166</v>
      </c>
      <c r="P12" s="411">
        <v>1523.36</v>
      </c>
      <c r="Q12" s="412">
        <v>45688</v>
      </c>
      <c r="R12" s="413"/>
      <c r="S12" s="411"/>
      <c r="T12" s="411"/>
      <c r="U12" s="586"/>
      <c r="V12" s="622"/>
      <c r="W12" s="595"/>
      <c r="X12" s="106">
        <v>19</v>
      </c>
    </row>
    <row r="13" spans="1:24" s="2" customFormat="1" x14ac:dyDescent="0.3">
      <c r="A13" s="581"/>
      <c r="B13" s="590"/>
      <c r="C13" s="590"/>
      <c r="D13" s="590"/>
      <c r="E13" s="590"/>
      <c r="F13" s="584"/>
      <c r="G13" s="632"/>
      <c r="H13" s="587"/>
      <c r="I13" s="602"/>
      <c r="J13" s="635"/>
      <c r="K13" s="638"/>
      <c r="L13" s="590"/>
      <c r="M13" s="590"/>
      <c r="N13" s="421">
        <v>45707</v>
      </c>
      <c r="O13" s="584"/>
      <c r="P13" s="414">
        <v>2182.12</v>
      </c>
      <c r="Q13" s="415">
        <v>45716</v>
      </c>
      <c r="R13" s="416"/>
      <c r="S13" s="414"/>
      <c r="T13" s="414"/>
      <c r="U13" s="587"/>
      <c r="V13" s="623"/>
      <c r="W13" s="596"/>
      <c r="X13" s="2">
        <v>19</v>
      </c>
    </row>
    <row r="14" spans="1:24" s="2" customFormat="1" x14ac:dyDescent="0.3">
      <c r="A14" s="581"/>
      <c r="B14" s="590"/>
      <c r="C14" s="590"/>
      <c r="D14" s="590"/>
      <c r="E14" s="590"/>
      <c r="F14" s="584"/>
      <c r="G14" s="632"/>
      <c r="H14" s="587"/>
      <c r="I14" s="602"/>
      <c r="J14" s="635"/>
      <c r="K14" s="638"/>
      <c r="L14" s="590"/>
      <c r="M14" s="590"/>
      <c r="N14" s="421">
        <v>45733</v>
      </c>
      <c r="O14" s="584"/>
      <c r="P14" s="414">
        <v>1646.88</v>
      </c>
      <c r="Q14" s="415">
        <v>45735</v>
      </c>
      <c r="R14" s="416"/>
      <c r="S14" s="414"/>
      <c r="T14" s="414"/>
      <c r="U14" s="587"/>
      <c r="V14" s="623"/>
      <c r="W14" s="596"/>
      <c r="X14" s="2">
        <v>19</v>
      </c>
    </row>
    <row r="15" spans="1:24" s="2" customFormat="1" x14ac:dyDescent="0.3">
      <c r="A15" s="581"/>
      <c r="B15" s="590"/>
      <c r="C15" s="590"/>
      <c r="D15" s="590"/>
      <c r="E15" s="590"/>
      <c r="F15" s="584"/>
      <c r="G15" s="632"/>
      <c r="H15" s="587"/>
      <c r="I15" s="602"/>
      <c r="J15" s="635"/>
      <c r="K15" s="638"/>
      <c r="L15" s="590"/>
      <c r="M15" s="590"/>
      <c r="N15" s="421">
        <v>45763</v>
      </c>
      <c r="O15" s="584"/>
      <c r="P15" s="414">
        <v>2264.46</v>
      </c>
      <c r="Q15" s="415">
        <v>45777</v>
      </c>
      <c r="R15" s="416"/>
      <c r="S15" s="414"/>
      <c r="T15" s="414"/>
      <c r="U15" s="587"/>
      <c r="V15" s="623"/>
      <c r="W15" s="596"/>
      <c r="X15" s="2">
        <v>19</v>
      </c>
    </row>
    <row r="16" spans="1:24" s="2" customFormat="1" x14ac:dyDescent="0.3">
      <c r="A16" s="581"/>
      <c r="B16" s="590"/>
      <c r="C16" s="590"/>
      <c r="D16" s="590"/>
      <c r="E16" s="590"/>
      <c r="F16" s="584"/>
      <c r="G16" s="632"/>
      <c r="H16" s="587"/>
      <c r="I16" s="602"/>
      <c r="J16" s="635"/>
      <c r="K16" s="638"/>
      <c r="L16" s="590"/>
      <c r="M16" s="590"/>
      <c r="N16" s="421">
        <v>45791</v>
      </c>
      <c r="O16" s="584"/>
      <c r="P16" s="414">
        <v>1605.71</v>
      </c>
      <c r="Q16" s="415">
        <v>45807</v>
      </c>
      <c r="R16" s="416"/>
      <c r="S16" s="414"/>
      <c r="T16" s="414"/>
      <c r="U16" s="587"/>
      <c r="V16" s="623"/>
      <c r="W16" s="596"/>
      <c r="X16" s="2">
        <v>19</v>
      </c>
    </row>
    <row r="17" spans="1:24" s="2" customFormat="1" x14ac:dyDescent="0.3">
      <c r="A17" s="581"/>
      <c r="B17" s="590"/>
      <c r="C17" s="590"/>
      <c r="D17" s="590"/>
      <c r="E17" s="590"/>
      <c r="F17" s="584"/>
      <c r="G17" s="632"/>
      <c r="H17" s="587"/>
      <c r="I17" s="602"/>
      <c r="J17" s="635"/>
      <c r="K17" s="638"/>
      <c r="L17" s="590"/>
      <c r="M17" s="590"/>
      <c r="N17" s="421">
        <v>45832</v>
      </c>
      <c r="O17" s="584"/>
      <c r="P17" s="414">
        <v>1482.19</v>
      </c>
      <c r="Q17" s="415">
        <v>45842</v>
      </c>
      <c r="R17" s="416"/>
      <c r="S17" s="414"/>
      <c r="T17" s="414"/>
      <c r="U17" s="587"/>
      <c r="V17" s="623"/>
      <c r="W17" s="596"/>
      <c r="X17" s="2">
        <v>19</v>
      </c>
    </row>
    <row r="18" spans="1:24" s="2" customFormat="1" x14ac:dyDescent="0.3">
      <c r="A18" s="581"/>
      <c r="B18" s="590"/>
      <c r="C18" s="590"/>
      <c r="D18" s="590"/>
      <c r="E18" s="590"/>
      <c r="F18" s="584"/>
      <c r="G18" s="632"/>
      <c r="H18" s="587"/>
      <c r="I18" s="602"/>
      <c r="J18" s="635"/>
      <c r="K18" s="638"/>
      <c r="L18" s="590"/>
      <c r="M18" s="590"/>
      <c r="N18" s="421">
        <v>45861</v>
      </c>
      <c r="O18" s="584"/>
      <c r="P18" s="414">
        <v>1107.8599999999999</v>
      </c>
      <c r="Q18" s="415">
        <v>45873</v>
      </c>
      <c r="R18" s="416"/>
      <c r="S18" s="414"/>
      <c r="T18" s="414"/>
      <c r="U18" s="587"/>
      <c r="V18" s="623"/>
      <c r="W18" s="596"/>
      <c r="X18" s="2">
        <v>19</v>
      </c>
    </row>
    <row r="19" spans="1:24" s="2" customFormat="1" x14ac:dyDescent="0.3">
      <c r="A19" s="581"/>
      <c r="B19" s="590"/>
      <c r="C19" s="590"/>
      <c r="D19" s="590"/>
      <c r="E19" s="590"/>
      <c r="F19" s="584"/>
      <c r="G19" s="632"/>
      <c r="H19" s="587"/>
      <c r="I19" s="602"/>
      <c r="J19" s="635"/>
      <c r="K19" s="638"/>
      <c r="L19" s="590"/>
      <c r="M19" s="590"/>
      <c r="N19" s="421">
        <v>45894</v>
      </c>
      <c r="O19" s="584"/>
      <c r="P19" s="414">
        <v>1204.2</v>
      </c>
      <c r="Q19" s="415">
        <v>45909</v>
      </c>
      <c r="R19" s="416"/>
      <c r="S19" s="414"/>
      <c r="T19" s="414"/>
      <c r="U19" s="587"/>
      <c r="V19" s="623"/>
      <c r="W19" s="596"/>
      <c r="X19" s="2">
        <v>19</v>
      </c>
    </row>
    <row r="20" spans="1:24" s="2" customFormat="1" x14ac:dyDescent="0.3">
      <c r="A20" s="582"/>
      <c r="B20" s="591"/>
      <c r="C20" s="591"/>
      <c r="D20" s="591"/>
      <c r="E20" s="591"/>
      <c r="F20" s="585"/>
      <c r="G20" s="633"/>
      <c r="H20" s="588"/>
      <c r="I20" s="603"/>
      <c r="J20" s="636"/>
      <c r="K20" s="639"/>
      <c r="L20" s="591"/>
      <c r="M20" s="591"/>
      <c r="N20" s="422">
        <v>45916</v>
      </c>
      <c r="O20" s="585"/>
      <c r="P20" s="417">
        <v>1541.38</v>
      </c>
      <c r="Q20" s="418">
        <v>45929</v>
      </c>
      <c r="R20" s="419"/>
      <c r="S20" s="417"/>
      <c r="T20" s="417"/>
      <c r="U20" s="588"/>
      <c r="V20" s="624"/>
      <c r="W20" s="597"/>
      <c r="X20" s="2">
        <v>19</v>
      </c>
    </row>
    <row r="21" spans="1:24" s="106" customFormat="1" ht="37.5" customHeight="1" x14ac:dyDescent="0.3">
      <c r="A21" s="496">
        <v>3</v>
      </c>
      <c r="B21" s="502" t="s">
        <v>56</v>
      </c>
      <c r="C21" s="502" t="s">
        <v>146</v>
      </c>
      <c r="D21" s="502" t="s">
        <v>170</v>
      </c>
      <c r="E21" s="502" t="s">
        <v>171</v>
      </c>
      <c r="F21" s="498">
        <v>45654</v>
      </c>
      <c r="G21" s="612" t="s">
        <v>167</v>
      </c>
      <c r="H21" s="500">
        <v>407000</v>
      </c>
      <c r="I21" s="525">
        <f>IF(X21 = 20, H21 + SUM(S21:S40) - SUM(T21:T40) - SUM(P21:P40) - V21,0)</f>
        <v>44051.770000000019</v>
      </c>
      <c r="J21" s="616">
        <v>2308119595</v>
      </c>
      <c r="K21" s="619" t="s">
        <v>149</v>
      </c>
      <c r="L21" s="502" t="s">
        <v>146</v>
      </c>
      <c r="M21" s="502"/>
      <c r="N21" s="363">
        <v>45658</v>
      </c>
      <c r="O21" s="498" t="s">
        <v>168</v>
      </c>
      <c r="P21" s="354">
        <v>25009.94</v>
      </c>
      <c r="Q21" s="355">
        <v>45685</v>
      </c>
      <c r="R21" s="356"/>
      <c r="S21" s="354"/>
      <c r="T21" s="354"/>
      <c r="U21" s="500"/>
      <c r="V21" s="608"/>
      <c r="W21" s="523"/>
      <c r="X21" s="106">
        <v>20</v>
      </c>
    </row>
    <row r="22" spans="1:24" s="2" customFormat="1" x14ac:dyDescent="0.3">
      <c r="A22" s="604"/>
      <c r="B22" s="607"/>
      <c r="C22" s="607"/>
      <c r="D22" s="607"/>
      <c r="E22" s="607"/>
      <c r="F22" s="605"/>
      <c r="G22" s="613"/>
      <c r="H22" s="606"/>
      <c r="I22" s="615"/>
      <c r="J22" s="617"/>
      <c r="K22" s="620"/>
      <c r="L22" s="607"/>
      <c r="M22" s="607"/>
      <c r="N22" s="364">
        <v>45689</v>
      </c>
      <c r="O22" s="605"/>
      <c r="P22" s="357">
        <v>18751.080000000002</v>
      </c>
      <c r="Q22" s="358">
        <v>45692</v>
      </c>
      <c r="R22" s="359"/>
      <c r="S22" s="357"/>
      <c r="T22" s="357"/>
      <c r="U22" s="606"/>
      <c r="V22" s="609"/>
      <c r="W22" s="611"/>
      <c r="X22" s="2">
        <v>20</v>
      </c>
    </row>
    <row r="23" spans="1:24" s="2" customFormat="1" x14ac:dyDescent="0.3">
      <c r="A23" s="604"/>
      <c r="B23" s="607"/>
      <c r="C23" s="607"/>
      <c r="D23" s="607"/>
      <c r="E23" s="607"/>
      <c r="F23" s="605"/>
      <c r="G23" s="613"/>
      <c r="H23" s="606"/>
      <c r="I23" s="615"/>
      <c r="J23" s="617"/>
      <c r="K23" s="620"/>
      <c r="L23" s="607"/>
      <c r="M23" s="607"/>
      <c r="N23" s="364">
        <v>45688</v>
      </c>
      <c r="O23" s="605"/>
      <c r="P23" s="357">
        <v>40907.68</v>
      </c>
      <c r="Q23" s="358">
        <v>45705</v>
      </c>
      <c r="R23" s="359"/>
      <c r="S23" s="357"/>
      <c r="T23" s="357"/>
      <c r="U23" s="606"/>
      <c r="V23" s="609"/>
      <c r="W23" s="611"/>
      <c r="X23" s="2">
        <v>20</v>
      </c>
    </row>
    <row r="24" spans="1:24" s="2" customFormat="1" x14ac:dyDescent="0.3">
      <c r="A24" s="604"/>
      <c r="B24" s="607"/>
      <c r="C24" s="607"/>
      <c r="D24" s="607"/>
      <c r="E24" s="607"/>
      <c r="F24" s="605"/>
      <c r="G24" s="613"/>
      <c r="H24" s="606"/>
      <c r="I24" s="615"/>
      <c r="J24" s="617"/>
      <c r="K24" s="620"/>
      <c r="L24" s="607"/>
      <c r="M24" s="607"/>
      <c r="N24" s="364">
        <v>45689</v>
      </c>
      <c r="O24" s="605"/>
      <c r="P24" s="357">
        <v>28796.27</v>
      </c>
      <c r="Q24" s="358">
        <v>45705</v>
      </c>
      <c r="R24" s="359"/>
      <c r="S24" s="357"/>
      <c r="T24" s="357"/>
      <c r="U24" s="606"/>
      <c r="V24" s="609"/>
      <c r="W24" s="611"/>
      <c r="X24" s="2">
        <v>20</v>
      </c>
    </row>
    <row r="25" spans="1:24" s="2" customFormat="1" x14ac:dyDescent="0.3">
      <c r="A25" s="604"/>
      <c r="B25" s="607"/>
      <c r="C25" s="607"/>
      <c r="D25" s="607"/>
      <c r="E25" s="607"/>
      <c r="F25" s="605"/>
      <c r="G25" s="613"/>
      <c r="H25" s="606"/>
      <c r="I25" s="615"/>
      <c r="J25" s="617"/>
      <c r="K25" s="620"/>
      <c r="L25" s="607"/>
      <c r="M25" s="607"/>
      <c r="N25" s="364">
        <v>45717</v>
      </c>
      <c r="O25" s="605"/>
      <c r="P25" s="357">
        <v>21597.200000000001</v>
      </c>
      <c r="Q25" s="358">
        <v>45719</v>
      </c>
      <c r="R25" s="359"/>
      <c r="S25" s="357"/>
      <c r="T25" s="357"/>
      <c r="U25" s="606"/>
      <c r="V25" s="609"/>
      <c r="W25" s="611"/>
      <c r="X25" s="2">
        <v>20</v>
      </c>
    </row>
    <row r="26" spans="1:24" s="2" customFormat="1" x14ac:dyDescent="0.3">
      <c r="A26" s="604"/>
      <c r="B26" s="607"/>
      <c r="C26" s="607"/>
      <c r="D26" s="607"/>
      <c r="E26" s="607"/>
      <c r="F26" s="605"/>
      <c r="G26" s="613"/>
      <c r="H26" s="606"/>
      <c r="I26" s="615"/>
      <c r="J26" s="617"/>
      <c r="K26" s="620"/>
      <c r="L26" s="607"/>
      <c r="M26" s="607"/>
      <c r="N26" s="364">
        <v>45716</v>
      </c>
      <c r="O26" s="605"/>
      <c r="P26" s="357">
        <v>9060.59</v>
      </c>
      <c r="Q26" s="358">
        <v>45729</v>
      </c>
      <c r="R26" s="359"/>
      <c r="S26" s="357"/>
      <c r="T26" s="357"/>
      <c r="U26" s="606"/>
      <c r="V26" s="609"/>
      <c r="W26" s="611"/>
      <c r="X26" s="2">
        <v>20</v>
      </c>
    </row>
    <row r="27" spans="1:24" s="2" customFormat="1" x14ac:dyDescent="0.3">
      <c r="A27" s="604"/>
      <c r="B27" s="607"/>
      <c r="C27" s="607"/>
      <c r="D27" s="607"/>
      <c r="E27" s="607"/>
      <c r="F27" s="605"/>
      <c r="G27" s="613"/>
      <c r="H27" s="606"/>
      <c r="I27" s="615"/>
      <c r="J27" s="617"/>
      <c r="K27" s="620"/>
      <c r="L27" s="607"/>
      <c r="M27" s="607"/>
      <c r="N27" s="364">
        <v>45717</v>
      </c>
      <c r="O27" s="605"/>
      <c r="P27" s="357">
        <v>24651.97</v>
      </c>
      <c r="Q27" s="358">
        <v>45729</v>
      </c>
      <c r="R27" s="359"/>
      <c r="S27" s="357"/>
      <c r="T27" s="357"/>
      <c r="U27" s="606"/>
      <c r="V27" s="609"/>
      <c r="W27" s="611"/>
      <c r="X27" s="2">
        <v>20</v>
      </c>
    </row>
    <row r="28" spans="1:24" s="2" customFormat="1" x14ac:dyDescent="0.3">
      <c r="A28" s="604"/>
      <c r="B28" s="607"/>
      <c r="C28" s="607"/>
      <c r="D28" s="607"/>
      <c r="E28" s="607"/>
      <c r="F28" s="605"/>
      <c r="G28" s="613"/>
      <c r="H28" s="606"/>
      <c r="I28" s="615"/>
      <c r="J28" s="617"/>
      <c r="K28" s="620"/>
      <c r="L28" s="607"/>
      <c r="M28" s="607"/>
      <c r="N28" s="364">
        <v>45748</v>
      </c>
      <c r="O28" s="605"/>
      <c r="P28" s="357">
        <v>18496.34</v>
      </c>
      <c r="Q28" s="358">
        <v>45748</v>
      </c>
      <c r="R28" s="359"/>
      <c r="S28" s="357"/>
      <c r="T28" s="357"/>
      <c r="U28" s="606"/>
      <c r="V28" s="609"/>
      <c r="W28" s="611"/>
      <c r="X28" s="2">
        <v>20</v>
      </c>
    </row>
    <row r="29" spans="1:24" s="2" customFormat="1" x14ac:dyDescent="0.3">
      <c r="A29" s="604"/>
      <c r="B29" s="607"/>
      <c r="C29" s="607"/>
      <c r="D29" s="607"/>
      <c r="E29" s="607"/>
      <c r="F29" s="605"/>
      <c r="G29" s="613"/>
      <c r="H29" s="606"/>
      <c r="I29" s="615"/>
      <c r="J29" s="617"/>
      <c r="K29" s="620"/>
      <c r="L29" s="607"/>
      <c r="M29" s="607"/>
      <c r="N29" s="364">
        <v>45747</v>
      </c>
      <c r="O29" s="605"/>
      <c r="P29" s="357">
        <v>9628.5499999999993</v>
      </c>
      <c r="Q29" s="358">
        <v>45761</v>
      </c>
      <c r="R29" s="359"/>
      <c r="S29" s="357"/>
      <c r="T29" s="357"/>
      <c r="U29" s="606"/>
      <c r="V29" s="609"/>
      <c r="W29" s="611"/>
      <c r="X29" s="2">
        <v>20</v>
      </c>
    </row>
    <row r="30" spans="1:24" s="2" customFormat="1" x14ac:dyDescent="0.3">
      <c r="A30" s="604"/>
      <c r="B30" s="607"/>
      <c r="C30" s="607"/>
      <c r="D30" s="607"/>
      <c r="E30" s="607"/>
      <c r="F30" s="605"/>
      <c r="G30" s="613"/>
      <c r="H30" s="606"/>
      <c r="I30" s="615"/>
      <c r="J30" s="617"/>
      <c r="K30" s="620"/>
      <c r="L30" s="607"/>
      <c r="M30" s="607"/>
      <c r="N30" s="364">
        <v>45748</v>
      </c>
      <c r="O30" s="605"/>
      <c r="P30" s="357">
        <v>22353.7</v>
      </c>
      <c r="Q30" s="358">
        <v>45761</v>
      </c>
      <c r="R30" s="359"/>
      <c r="S30" s="357"/>
      <c r="T30" s="357"/>
      <c r="U30" s="606"/>
      <c r="V30" s="609"/>
      <c r="W30" s="611"/>
      <c r="X30" s="2">
        <v>20</v>
      </c>
    </row>
    <row r="31" spans="1:24" s="2" customFormat="1" x14ac:dyDescent="0.3">
      <c r="A31" s="604"/>
      <c r="B31" s="607"/>
      <c r="C31" s="607"/>
      <c r="D31" s="607"/>
      <c r="E31" s="607"/>
      <c r="F31" s="605"/>
      <c r="G31" s="613"/>
      <c r="H31" s="606"/>
      <c r="I31" s="615"/>
      <c r="J31" s="617"/>
      <c r="K31" s="620"/>
      <c r="L31" s="607"/>
      <c r="M31" s="607"/>
      <c r="N31" s="364">
        <v>45778</v>
      </c>
      <c r="O31" s="605"/>
      <c r="P31" s="357">
        <v>16768.52</v>
      </c>
      <c r="Q31" s="358">
        <v>45782</v>
      </c>
      <c r="R31" s="359"/>
      <c r="S31" s="357"/>
      <c r="T31" s="357"/>
      <c r="U31" s="606"/>
      <c r="V31" s="609"/>
      <c r="W31" s="611"/>
      <c r="X31" s="2">
        <v>20</v>
      </c>
    </row>
    <row r="32" spans="1:24" s="2" customFormat="1" x14ac:dyDescent="0.3">
      <c r="A32" s="604"/>
      <c r="B32" s="607"/>
      <c r="C32" s="607"/>
      <c r="D32" s="607"/>
      <c r="E32" s="607"/>
      <c r="F32" s="605"/>
      <c r="G32" s="613"/>
      <c r="H32" s="606"/>
      <c r="I32" s="615"/>
      <c r="J32" s="617"/>
      <c r="K32" s="620"/>
      <c r="L32" s="607"/>
      <c r="M32" s="607"/>
      <c r="N32" s="364">
        <v>45778</v>
      </c>
      <c r="O32" s="605"/>
      <c r="P32" s="357">
        <v>24338.09</v>
      </c>
      <c r="Q32" s="358">
        <v>45790</v>
      </c>
      <c r="R32" s="359"/>
      <c r="S32" s="357"/>
      <c r="T32" s="357"/>
      <c r="U32" s="606"/>
      <c r="V32" s="609"/>
      <c r="W32" s="611"/>
      <c r="X32" s="2">
        <v>20</v>
      </c>
    </row>
    <row r="33" spans="1:24" s="2" customFormat="1" x14ac:dyDescent="0.3">
      <c r="A33" s="604"/>
      <c r="B33" s="607"/>
      <c r="C33" s="607"/>
      <c r="D33" s="607"/>
      <c r="E33" s="607"/>
      <c r="F33" s="605"/>
      <c r="G33" s="613"/>
      <c r="H33" s="606"/>
      <c r="I33" s="615"/>
      <c r="J33" s="617"/>
      <c r="K33" s="620"/>
      <c r="L33" s="607"/>
      <c r="M33" s="607"/>
      <c r="N33" s="364">
        <v>45777</v>
      </c>
      <c r="O33" s="605"/>
      <c r="P33" s="357">
        <v>14917.97</v>
      </c>
      <c r="Q33" s="358">
        <v>45790</v>
      </c>
      <c r="R33" s="359"/>
      <c r="S33" s="357"/>
      <c r="T33" s="357"/>
      <c r="U33" s="606"/>
      <c r="V33" s="609"/>
      <c r="W33" s="611"/>
      <c r="X33" s="2">
        <v>20</v>
      </c>
    </row>
    <row r="34" spans="1:24" s="2" customFormat="1" x14ac:dyDescent="0.3">
      <c r="A34" s="604"/>
      <c r="B34" s="607"/>
      <c r="C34" s="607"/>
      <c r="D34" s="607"/>
      <c r="E34" s="607"/>
      <c r="F34" s="605"/>
      <c r="G34" s="613"/>
      <c r="H34" s="606"/>
      <c r="I34" s="615"/>
      <c r="J34" s="617"/>
      <c r="K34" s="620"/>
      <c r="L34" s="607"/>
      <c r="M34" s="607"/>
      <c r="N34" s="364">
        <v>45809</v>
      </c>
      <c r="O34" s="605"/>
      <c r="P34" s="357">
        <v>18253.57</v>
      </c>
      <c r="Q34" s="358">
        <v>45810</v>
      </c>
      <c r="R34" s="359"/>
      <c r="S34" s="357"/>
      <c r="T34" s="357"/>
      <c r="U34" s="606"/>
      <c r="V34" s="609"/>
      <c r="W34" s="611"/>
      <c r="X34" s="2">
        <v>20</v>
      </c>
    </row>
    <row r="35" spans="1:24" s="2" customFormat="1" x14ac:dyDescent="0.3">
      <c r="A35" s="604"/>
      <c r="B35" s="607"/>
      <c r="C35" s="607"/>
      <c r="D35" s="607"/>
      <c r="E35" s="607"/>
      <c r="F35" s="605"/>
      <c r="G35" s="613"/>
      <c r="H35" s="606"/>
      <c r="I35" s="615"/>
      <c r="J35" s="617"/>
      <c r="K35" s="620"/>
      <c r="L35" s="607"/>
      <c r="M35" s="607"/>
      <c r="N35" s="364">
        <v>45809</v>
      </c>
      <c r="O35" s="605"/>
      <c r="P35" s="357">
        <v>16364.18</v>
      </c>
      <c r="Q35" s="358">
        <v>45827</v>
      </c>
      <c r="R35" s="359"/>
      <c r="S35" s="357"/>
      <c r="T35" s="357"/>
      <c r="U35" s="606"/>
      <c r="V35" s="609"/>
      <c r="W35" s="611"/>
      <c r="X35" s="2">
        <v>20</v>
      </c>
    </row>
    <row r="36" spans="1:24" s="2" customFormat="1" x14ac:dyDescent="0.3">
      <c r="A36" s="604"/>
      <c r="B36" s="607"/>
      <c r="C36" s="607"/>
      <c r="D36" s="607"/>
      <c r="E36" s="607"/>
      <c r="F36" s="605"/>
      <c r="G36" s="613"/>
      <c r="H36" s="606"/>
      <c r="I36" s="615"/>
      <c r="J36" s="617"/>
      <c r="K36" s="620"/>
      <c r="L36" s="607"/>
      <c r="M36" s="607"/>
      <c r="N36" s="364">
        <v>45839</v>
      </c>
      <c r="O36" s="605"/>
      <c r="P36" s="357">
        <v>13356.34</v>
      </c>
      <c r="Q36" s="358">
        <v>45839</v>
      </c>
      <c r="R36" s="359"/>
      <c r="S36" s="357"/>
      <c r="T36" s="357"/>
      <c r="U36" s="606"/>
      <c r="V36" s="609"/>
      <c r="W36" s="611"/>
      <c r="X36" s="2">
        <v>20</v>
      </c>
    </row>
    <row r="37" spans="1:24" s="2" customFormat="1" x14ac:dyDescent="0.3">
      <c r="A37" s="604"/>
      <c r="B37" s="607"/>
      <c r="C37" s="607"/>
      <c r="D37" s="607"/>
      <c r="E37" s="607"/>
      <c r="F37" s="605"/>
      <c r="G37" s="613"/>
      <c r="H37" s="606"/>
      <c r="I37" s="615"/>
      <c r="J37" s="617"/>
      <c r="K37" s="620"/>
      <c r="L37" s="607"/>
      <c r="M37" s="607"/>
      <c r="N37" s="364">
        <v>45839</v>
      </c>
      <c r="O37" s="605"/>
      <c r="P37" s="357">
        <v>13991.53</v>
      </c>
      <c r="Q37" s="358">
        <v>45854</v>
      </c>
      <c r="R37" s="359"/>
      <c r="S37" s="357"/>
      <c r="T37" s="357"/>
      <c r="U37" s="606"/>
      <c r="V37" s="609"/>
      <c r="W37" s="611"/>
      <c r="X37" s="2">
        <v>20</v>
      </c>
    </row>
    <row r="38" spans="1:24" s="2" customFormat="1" x14ac:dyDescent="0.3">
      <c r="A38" s="604"/>
      <c r="B38" s="607"/>
      <c r="C38" s="607"/>
      <c r="D38" s="607"/>
      <c r="E38" s="607"/>
      <c r="F38" s="605"/>
      <c r="G38" s="613"/>
      <c r="H38" s="606"/>
      <c r="I38" s="615"/>
      <c r="J38" s="617"/>
      <c r="K38" s="620"/>
      <c r="L38" s="607"/>
      <c r="M38" s="607"/>
      <c r="N38" s="364">
        <v>45870</v>
      </c>
      <c r="O38" s="605"/>
      <c r="P38" s="366">
        <v>10486</v>
      </c>
      <c r="Q38" s="358">
        <v>45873</v>
      </c>
      <c r="R38" s="359"/>
      <c r="S38" s="357"/>
      <c r="T38" s="357"/>
      <c r="U38" s="606"/>
      <c r="V38" s="609"/>
      <c r="W38" s="611"/>
      <c r="X38" s="2">
        <v>20</v>
      </c>
    </row>
    <row r="39" spans="1:24" s="2" customFormat="1" x14ac:dyDescent="0.3">
      <c r="A39" s="604"/>
      <c r="B39" s="607"/>
      <c r="C39" s="607"/>
      <c r="D39" s="607"/>
      <c r="E39" s="607"/>
      <c r="F39" s="605"/>
      <c r="G39" s="613"/>
      <c r="H39" s="606"/>
      <c r="I39" s="615"/>
      <c r="J39" s="617"/>
      <c r="K39" s="620"/>
      <c r="L39" s="607"/>
      <c r="M39" s="607"/>
      <c r="N39" s="364">
        <v>45870</v>
      </c>
      <c r="O39" s="605"/>
      <c r="P39" s="357">
        <v>8691.7900000000009</v>
      </c>
      <c r="Q39" s="358">
        <v>45882</v>
      </c>
      <c r="R39" s="359"/>
      <c r="S39" s="357"/>
      <c r="T39" s="357"/>
      <c r="U39" s="606"/>
      <c r="V39" s="609"/>
      <c r="W39" s="611"/>
      <c r="X39" s="2">
        <v>20</v>
      </c>
    </row>
    <row r="40" spans="1:24" s="2" customFormat="1" x14ac:dyDescent="0.3">
      <c r="A40" s="497"/>
      <c r="B40" s="503"/>
      <c r="C40" s="503"/>
      <c r="D40" s="503"/>
      <c r="E40" s="503"/>
      <c r="F40" s="499"/>
      <c r="G40" s="614"/>
      <c r="H40" s="501"/>
      <c r="I40" s="526"/>
      <c r="J40" s="618"/>
      <c r="K40" s="621"/>
      <c r="L40" s="503"/>
      <c r="M40" s="503"/>
      <c r="N40" s="365">
        <v>45901</v>
      </c>
      <c r="O40" s="499"/>
      <c r="P40" s="360">
        <v>6526.92</v>
      </c>
      <c r="Q40" s="361">
        <v>45901</v>
      </c>
      <c r="R40" s="362"/>
      <c r="S40" s="360"/>
      <c r="T40" s="360"/>
      <c r="U40" s="501"/>
      <c r="V40" s="610"/>
      <c r="W40" s="524"/>
      <c r="X40" s="2">
        <v>20</v>
      </c>
    </row>
    <row r="41" spans="1:24" s="106" customFormat="1" ht="72" customHeight="1" x14ac:dyDescent="0.3">
      <c r="A41" s="580">
        <v>4</v>
      </c>
      <c r="B41" s="589" t="s">
        <v>56</v>
      </c>
      <c r="C41" s="589" t="s">
        <v>146</v>
      </c>
      <c r="D41" s="589" t="s">
        <v>147</v>
      </c>
      <c r="E41" s="589" t="s">
        <v>172</v>
      </c>
      <c r="F41" s="583">
        <v>45654</v>
      </c>
      <c r="G41" s="631" t="s">
        <v>148</v>
      </c>
      <c r="H41" s="586">
        <v>50565.84</v>
      </c>
      <c r="I41" s="601">
        <f>IF(X41 = 21, H41 + SUM(S41:S48) - SUM(T41:T48) - SUM(P41:P48) - V41,0)</f>
        <v>17541.159999999996</v>
      </c>
      <c r="J41" s="634">
        <v>2308131994</v>
      </c>
      <c r="K41" s="637" t="s">
        <v>161</v>
      </c>
      <c r="L41" s="589" t="s">
        <v>146</v>
      </c>
      <c r="M41" s="589"/>
      <c r="N41" s="420">
        <v>45688</v>
      </c>
      <c r="O41" s="583" t="s">
        <v>169</v>
      </c>
      <c r="P41" s="411">
        <v>4042.35</v>
      </c>
      <c r="Q41" s="412">
        <v>45692</v>
      </c>
      <c r="R41" s="413"/>
      <c r="S41" s="411"/>
      <c r="T41" s="411"/>
      <c r="U41" s="586"/>
      <c r="V41" s="622"/>
      <c r="W41" s="595"/>
      <c r="X41" s="106">
        <v>21</v>
      </c>
    </row>
    <row r="42" spans="1:24" s="2" customFormat="1" x14ac:dyDescent="0.3">
      <c r="A42" s="581"/>
      <c r="B42" s="590"/>
      <c r="C42" s="590"/>
      <c r="D42" s="590"/>
      <c r="E42" s="590"/>
      <c r="F42" s="584"/>
      <c r="G42" s="632"/>
      <c r="H42" s="587"/>
      <c r="I42" s="602"/>
      <c r="J42" s="635"/>
      <c r="K42" s="638"/>
      <c r="L42" s="590"/>
      <c r="M42" s="590"/>
      <c r="N42" s="421">
        <v>45716</v>
      </c>
      <c r="O42" s="584"/>
      <c r="P42" s="414">
        <v>4042.35</v>
      </c>
      <c r="Q42" s="415">
        <v>45727</v>
      </c>
      <c r="R42" s="416"/>
      <c r="S42" s="414"/>
      <c r="T42" s="414"/>
      <c r="U42" s="587"/>
      <c r="V42" s="623"/>
      <c r="W42" s="596"/>
      <c r="X42" s="2">
        <v>21</v>
      </c>
    </row>
    <row r="43" spans="1:24" s="2" customFormat="1" x14ac:dyDescent="0.3">
      <c r="A43" s="581"/>
      <c r="B43" s="590"/>
      <c r="C43" s="590"/>
      <c r="D43" s="590"/>
      <c r="E43" s="590"/>
      <c r="F43" s="584"/>
      <c r="G43" s="632"/>
      <c r="H43" s="587"/>
      <c r="I43" s="602"/>
      <c r="J43" s="635"/>
      <c r="K43" s="638"/>
      <c r="L43" s="590"/>
      <c r="M43" s="590"/>
      <c r="N43" s="421" t="s">
        <v>275</v>
      </c>
      <c r="O43" s="584"/>
      <c r="P43" s="414">
        <v>4042.35</v>
      </c>
      <c r="Q43" s="415">
        <v>45749</v>
      </c>
      <c r="R43" s="416"/>
      <c r="S43" s="414"/>
      <c r="T43" s="414"/>
      <c r="U43" s="587"/>
      <c r="V43" s="623"/>
      <c r="W43" s="596"/>
      <c r="X43" s="2">
        <v>21</v>
      </c>
    </row>
    <row r="44" spans="1:24" s="2" customFormat="1" x14ac:dyDescent="0.3">
      <c r="A44" s="581"/>
      <c r="B44" s="590"/>
      <c r="C44" s="590"/>
      <c r="D44" s="590"/>
      <c r="E44" s="590"/>
      <c r="F44" s="584"/>
      <c r="G44" s="632"/>
      <c r="H44" s="587"/>
      <c r="I44" s="602"/>
      <c r="J44" s="635"/>
      <c r="K44" s="638"/>
      <c r="L44" s="590"/>
      <c r="M44" s="590"/>
      <c r="N44" s="421">
        <v>45777</v>
      </c>
      <c r="O44" s="584"/>
      <c r="P44" s="414">
        <v>4042.35</v>
      </c>
      <c r="Q44" s="415">
        <v>45789</v>
      </c>
      <c r="R44" s="416"/>
      <c r="S44" s="414"/>
      <c r="T44" s="414"/>
      <c r="U44" s="587"/>
      <c r="V44" s="623"/>
      <c r="W44" s="596"/>
      <c r="X44" s="2">
        <v>21</v>
      </c>
    </row>
    <row r="45" spans="1:24" s="2" customFormat="1" x14ac:dyDescent="0.3">
      <c r="A45" s="581"/>
      <c r="B45" s="590"/>
      <c r="C45" s="590"/>
      <c r="D45" s="590"/>
      <c r="E45" s="590"/>
      <c r="F45" s="584"/>
      <c r="G45" s="632"/>
      <c r="H45" s="587"/>
      <c r="I45" s="602"/>
      <c r="J45" s="635"/>
      <c r="K45" s="638"/>
      <c r="L45" s="590"/>
      <c r="M45" s="590"/>
      <c r="N45" s="421">
        <v>45808</v>
      </c>
      <c r="O45" s="584"/>
      <c r="P45" s="414">
        <v>4042.35</v>
      </c>
      <c r="Q45" s="415">
        <v>45812</v>
      </c>
      <c r="R45" s="416"/>
      <c r="S45" s="414"/>
      <c r="T45" s="414"/>
      <c r="U45" s="587"/>
      <c r="V45" s="623"/>
      <c r="W45" s="596"/>
      <c r="X45" s="2">
        <v>21</v>
      </c>
    </row>
    <row r="46" spans="1:24" s="2" customFormat="1" x14ac:dyDescent="0.3">
      <c r="A46" s="581"/>
      <c r="B46" s="590"/>
      <c r="C46" s="590"/>
      <c r="D46" s="590"/>
      <c r="E46" s="590"/>
      <c r="F46" s="584"/>
      <c r="G46" s="632"/>
      <c r="H46" s="587"/>
      <c r="I46" s="602"/>
      <c r="J46" s="635"/>
      <c r="K46" s="638"/>
      <c r="L46" s="590"/>
      <c r="M46" s="590"/>
      <c r="N46" s="421">
        <v>45838</v>
      </c>
      <c r="O46" s="584"/>
      <c r="P46" s="414">
        <v>4042.35</v>
      </c>
      <c r="Q46" s="415">
        <v>45847</v>
      </c>
      <c r="R46" s="416"/>
      <c r="S46" s="414"/>
      <c r="T46" s="414"/>
      <c r="U46" s="587"/>
      <c r="V46" s="623"/>
      <c r="W46" s="596"/>
      <c r="X46" s="2">
        <v>21</v>
      </c>
    </row>
    <row r="47" spans="1:24" s="2" customFormat="1" x14ac:dyDescent="0.3">
      <c r="A47" s="581"/>
      <c r="B47" s="590"/>
      <c r="C47" s="590"/>
      <c r="D47" s="590"/>
      <c r="E47" s="590"/>
      <c r="F47" s="584"/>
      <c r="G47" s="632"/>
      <c r="H47" s="587"/>
      <c r="I47" s="602"/>
      <c r="J47" s="635"/>
      <c r="K47" s="638"/>
      <c r="L47" s="590"/>
      <c r="M47" s="590"/>
      <c r="N47" s="421">
        <v>45869</v>
      </c>
      <c r="O47" s="584"/>
      <c r="P47" s="414">
        <v>4385.29</v>
      </c>
      <c r="Q47" s="415">
        <v>45873</v>
      </c>
      <c r="R47" s="416"/>
      <c r="S47" s="414"/>
      <c r="T47" s="414"/>
      <c r="U47" s="587"/>
      <c r="V47" s="623"/>
      <c r="W47" s="596"/>
      <c r="X47" s="2">
        <v>21</v>
      </c>
    </row>
    <row r="48" spans="1:24" s="2" customFormat="1" x14ac:dyDescent="0.3">
      <c r="A48" s="582"/>
      <c r="B48" s="591"/>
      <c r="C48" s="591"/>
      <c r="D48" s="591"/>
      <c r="E48" s="591"/>
      <c r="F48" s="585"/>
      <c r="G48" s="633"/>
      <c r="H48" s="588"/>
      <c r="I48" s="603"/>
      <c r="J48" s="636"/>
      <c r="K48" s="639"/>
      <c r="L48" s="591"/>
      <c r="M48" s="591"/>
      <c r="N48" s="422">
        <v>45900</v>
      </c>
      <c r="O48" s="585"/>
      <c r="P48" s="417">
        <v>4385.29</v>
      </c>
      <c r="Q48" s="418">
        <v>45902</v>
      </c>
      <c r="R48" s="419"/>
      <c r="S48" s="417"/>
      <c r="T48" s="417"/>
      <c r="U48" s="588"/>
      <c r="V48" s="624"/>
      <c r="W48" s="597"/>
      <c r="X48" s="2">
        <v>21</v>
      </c>
    </row>
    <row r="49" spans="1:24" s="106" customFormat="1" ht="187.5" customHeight="1" x14ac:dyDescent="0.3">
      <c r="A49" s="666">
        <v>5</v>
      </c>
      <c r="B49" s="708" t="s">
        <v>56</v>
      </c>
      <c r="C49" s="708" t="s">
        <v>146</v>
      </c>
      <c r="D49" s="708" t="s">
        <v>147</v>
      </c>
      <c r="E49" s="708" t="s">
        <v>36</v>
      </c>
      <c r="F49" s="710">
        <v>45654</v>
      </c>
      <c r="G49" s="712" t="s">
        <v>185</v>
      </c>
      <c r="H49" s="706">
        <v>17500</v>
      </c>
      <c r="I49" s="714">
        <f>IF(X49 = 22, H49 + SUM(S49:S53) - SUM(T49:T53) - SUM(P49:P53) - V49,0)</f>
        <v>7500</v>
      </c>
      <c r="J49" s="716">
        <v>235301271520</v>
      </c>
      <c r="K49" s="718" t="s">
        <v>158</v>
      </c>
      <c r="L49" s="708" t="s">
        <v>146</v>
      </c>
      <c r="M49" s="708"/>
      <c r="N49" s="108">
        <v>45681</v>
      </c>
      <c r="O49" s="710" t="s">
        <v>183</v>
      </c>
      <c r="P49" s="109">
        <v>2500</v>
      </c>
      <c r="Q49" s="110">
        <v>45693</v>
      </c>
      <c r="R49" s="111"/>
      <c r="S49" s="109"/>
      <c r="T49" s="109"/>
      <c r="U49" s="706"/>
      <c r="V49" s="660"/>
      <c r="W49" s="672"/>
      <c r="X49" s="106">
        <v>22</v>
      </c>
    </row>
    <row r="50" spans="1:24" s="2" customFormat="1" x14ac:dyDescent="0.3">
      <c r="A50" s="667"/>
      <c r="B50" s="709"/>
      <c r="C50" s="709"/>
      <c r="D50" s="709"/>
      <c r="E50" s="709"/>
      <c r="F50" s="711"/>
      <c r="G50" s="713"/>
      <c r="H50" s="707"/>
      <c r="I50" s="715"/>
      <c r="J50" s="717"/>
      <c r="K50" s="719"/>
      <c r="L50" s="709"/>
      <c r="M50" s="709"/>
      <c r="N50" s="112">
        <v>45713</v>
      </c>
      <c r="O50" s="711"/>
      <c r="P50" s="113">
        <v>2500</v>
      </c>
      <c r="Q50" s="114">
        <v>45716</v>
      </c>
      <c r="R50" s="115"/>
      <c r="S50" s="113"/>
      <c r="T50" s="113"/>
      <c r="U50" s="707"/>
      <c r="V50" s="661"/>
      <c r="W50" s="673"/>
      <c r="X50" s="2">
        <v>22</v>
      </c>
    </row>
    <row r="51" spans="1:24" s="2" customFormat="1" x14ac:dyDescent="0.3">
      <c r="A51" s="667"/>
      <c r="B51" s="709"/>
      <c r="C51" s="709"/>
      <c r="D51" s="709"/>
      <c r="E51" s="709"/>
      <c r="F51" s="711"/>
      <c r="G51" s="713"/>
      <c r="H51" s="707"/>
      <c r="I51" s="715"/>
      <c r="J51" s="717"/>
      <c r="K51" s="719"/>
      <c r="L51" s="709"/>
      <c r="M51" s="709"/>
      <c r="N51" s="112">
        <v>45741</v>
      </c>
      <c r="O51" s="711"/>
      <c r="P51" s="113">
        <v>2500</v>
      </c>
      <c r="Q51" s="114">
        <v>45742</v>
      </c>
      <c r="R51" s="115"/>
      <c r="S51" s="113"/>
      <c r="T51" s="113"/>
      <c r="U51" s="707"/>
      <c r="V51" s="661"/>
      <c r="W51" s="673"/>
      <c r="X51" s="2">
        <v>22</v>
      </c>
    </row>
    <row r="52" spans="1:24" s="2" customFormat="1" x14ac:dyDescent="0.3">
      <c r="A52" s="667"/>
      <c r="B52" s="709"/>
      <c r="C52" s="709"/>
      <c r="D52" s="709"/>
      <c r="E52" s="709"/>
      <c r="F52" s="711"/>
      <c r="G52" s="713"/>
      <c r="H52" s="707"/>
      <c r="I52" s="715"/>
      <c r="J52" s="717"/>
      <c r="K52" s="719"/>
      <c r="L52" s="709"/>
      <c r="M52" s="709"/>
      <c r="N52" s="112">
        <v>45771</v>
      </c>
      <c r="O52" s="711"/>
      <c r="P52" s="113">
        <v>2500</v>
      </c>
      <c r="Q52" s="114">
        <v>45777</v>
      </c>
      <c r="R52" s="115"/>
      <c r="S52" s="113"/>
      <c r="T52" s="113"/>
      <c r="U52" s="707"/>
      <c r="V52" s="661"/>
      <c r="W52" s="673"/>
      <c r="X52" s="2">
        <v>22</v>
      </c>
    </row>
    <row r="53" spans="1:24" s="2" customFormat="1" x14ac:dyDescent="0.3">
      <c r="A53" s="667"/>
      <c r="B53" s="709"/>
      <c r="C53" s="709"/>
      <c r="D53" s="709"/>
      <c r="E53" s="709"/>
      <c r="F53" s="711"/>
      <c r="G53" s="713"/>
      <c r="H53" s="707"/>
      <c r="I53" s="715"/>
      <c r="J53" s="717"/>
      <c r="K53" s="719"/>
      <c r="L53" s="709"/>
      <c r="M53" s="709"/>
      <c r="N53" s="112"/>
      <c r="O53" s="711"/>
      <c r="P53" s="113"/>
      <c r="Q53" s="114"/>
      <c r="R53" s="115"/>
      <c r="S53" s="113"/>
      <c r="T53" s="113"/>
      <c r="U53" s="707"/>
      <c r="V53" s="661"/>
      <c r="W53" s="673"/>
      <c r="X53" s="2">
        <v>22</v>
      </c>
    </row>
    <row r="54" spans="1:24" s="106" customFormat="1" ht="187.5" customHeight="1" x14ac:dyDescent="0.3">
      <c r="A54" s="580">
        <v>6</v>
      </c>
      <c r="B54" s="589" t="s">
        <v>56</v>
      </c>
      <c r="C54" s="589" t="s">
        <v>146</v>
      </c>
      <c r="D54" s="589" t="s">
        <v>147</v>
      </c>
      <c r="E54" s="589" t="s">
        <v>111</v>
      </c>
      <c r="F54" s="583">
        <v>45654</v>
      </c>
      <c r="G54" s="631" t="s">
        <v>186</v>
      </c>
      <c r="H54" s="586">
        <v>17400</v>
      </c>
      <c r="I54" s="601">
        <f>IF(X54 = 23, H54 + SUM(S54:S61) - SUM(T54:T61) - SUM(P54:P61) - V54,0)</f>
        <v>5800</v>
      </c>
      <c r="J54" s="634">
        <v>231107998282</v>
      </c>
      <c r="K54" s="637" t="s">
        <v>187</v>
      </c>
      <c r="L54" s="589" t="s">
        <v>146</v>
      </c>
      <c r="M54" s="589"/>
      <c r="N54" s="420">
        <v>45688</v>
      </c>
      <c r="O54" s="583" t="s">
        <v>183</v>
      </c>
      <c r="P54" s="411">
        <v>1450</v>
      </c>
      <c r="Q54" s="412">
        <v>45693</v>
      </c>
      <c r="R54" s="413"/>
      <c r="S54" s="411"/>
      <c r="T54" s="411"/>
      <c r="U54" s="586"/>
      <c r="V54" s="622"/>
      <c r="W54" s="595"/>
      <c r="X54" s="106">
        <v>23</v>
      </c>
    </row>
    <row r="55" spans="1:24" s="2" customFormat="1" x14ac:dyDescent="0.3">
      <c r="A55" s="581"/>
      <c r="B55" s="590"/>
      <c r="C55" s="590"/>
      <c r="D55" s="590"/>
      <c r="E55" s="590"/>
      <c r="F55" s="584"/>
      <c r="G55" s="632"/>
      <c r="H55" s="587"/>
      <c r="I55" s="602"/>
      <c r="J55" s="635"/>
      <c r="K55" s="638"/>
      <c r="L55" s="590"/>
      <c r="M55" s="590"/>
      <c r="N55" s="421">
        <v>45716</v>
      </c>
      <c r="O55" s="584"/>
      <c r="P55" s="414">
        <v>1450</v>
      </c>
      <c r="Q55" s="415">
        <v>45716</v>
      </c>
      <c r="R55" s="416"/>
      <c r="S55" s="414"/>
      <c r="T55" s="414"/>
      <c r="U55" s="587"/>
      <c r="V55" s="623"/>
      <c r="W55" s="596"/>
      <c r="X55" s="2">
        <v>23</v>
      </c>
    </row>
    <row r="56" spans="1:24" s="2" customFormat="1" x14ac:dyDescent="0.3">
      <c r="A56" s="581"/>
      <c r="B56" s="590"/>
      <c r="C56" s="590"/>
      <c r="D56" s="590"/>
      <c r="E56" s="590"/>
      <c r="F56" s="584"/>
      <c r="G56" s="632"/>
      <c r="H56" s="587"/>
      <c r="I56" s="602"/>
      <c r="J56" s="635"/>
      <c r="K56" s="638"/>
      <c r="L56" s="590"/>
      <c r="M56" s="590"/>
      <c r="N56" s="421">
        <v>45747</v>
      </c>
      <c r="O56" s="584"/>
      <c r="P56" s="414">
        <v>1450</v>
      </c>
      <c r="Q56" s="415">
        <v>45748</v>
      </c>
      <c r="R56" s="416"/>
      <c r="S56" s="414"/>
      <c r="T56" s="414"/>
      <c r="U56" s="587"/>
      <c r="V56" s="623"/>
      <c r="W56" s="596"/>
      <c r="X56" s="2">
        <v>23</v>
      </c>
    </row>
    <row r="57" spans="1:24" s="2" customFormat="1" x14ac:dyDescent="0.3">
      <c r="A57" s="581"/>
      <c r="B57" s="590"/>
      <c r="C57" s="590"/>
      <c r="D57" s="590"/>
      <c r="E57" s="590"/>
      <c r="F57" s="584"/>
      <c r="G57" s="632"/>
      <c r="H57" s="587"/>
      <c r="I57" s="602"/>
      <c r="J57" s="635"/>
      <c r="K57" s="638"/>
      <c r="L57" s="590"/>
      <c r="M57" s="590"/>
      <c r="N57" s="421">
        <v>45777</v>
      </c>
      <c r="O57" s="584"/>
      <c r="P57" s="414">
        <v>1450</v>
      </c>
      <c r="Q57" s="415">
        <v>45777</v>
      </c>
      <c r="R57" s="416"/>
      <c r="S57" s="414"/>
      <c r="T57" s="414"/>
      <c r="U57" s="587"/>
      <c r="V57" s="623"/>
      <c r="W57" s="596"/>
      <c r="X57" s="2">
        <v>23</v>
      </c>
    </row>
    <row r="58" spans="1:24" s="2" customFormat="1" x14ac:dyDescent="0.3">
      <c r="A58" s="581"/>
      <c r="B58" s="590"/>
      <c r="C58" s="590"/>
      <c r="D58" s="590"/>
      <c r="E58" s="590"/>
      <c r="F58" s="584"/>
      <c r="G58" s="632"/>
      <c r="H58" s="587"/>
      <c r="I58" s="602"/>
      <c r="J58" s="635"/>
      <c r="K58" s="638"/>
      <c r="L58" s="590"/>
      <c r="M58" s="590"/>
      <c r="N58" s="421">
        <v>45808</v>
      </c>
      <c r="O58" s="584"/>
      <c r="P58" s="414">
        <v>1450</v>
      </c>
      <c r="Q58" s="415">
        <v>45812</v>
      </c>
      <c r="R58" s="416"/>
      <c r="S58" s="414"/>
      <c r="T58" s="414"/>
      <c r="U58" s="587"/>
      <c r="V58" s="623"/>
      <c r="W58" s="596"/>
      <c r="X58" s="2">
        <v>23</v>
      </c>
    </row>
    <row r="59" spans="1:24" s="2" customFormat="1" x14ac:dyDescent="0.3">
      <c r="A59" s="581"/>
      <c r="B59" s="590"/>
      <c r="C59" s="590"/>
      <c r="D59" s="590"/>
      <c r="E59" s="590"/>
      <c r="F59" s="584"/>
      <c r="G59" s="632"/>
      <c r="H59" s="587"/>
      <c r="I59" s="602"/>
      <c r="J59" s="635"/>
      <c r="K59" s="638"/>
      <c r="L59" s="590"/>
      <c r="M59" s="590"/>
      <c r="N59" s="421">
        <v>45838</v>
      </c>
      <c r="O59" s="584"/>
      <c r="P59" s="414">
        <v>1450</v>
      </c>
      <c r="Q59" s="415">
        <v>45873</v>
      </c>
      <c r="R59" s="416"/>
      <c r="S59" s="414"/>
      <c r="T59" s="414"/>
      <c r="U59" s="587"/>
      <c r="V59" s="623"/>
      <c r="W59" s="596"/>
      <c r="X59" s="2">
        <v>23</v>
      </c>
    </row>
    <row r="60" spans="1:24" s="2" customFormat="1" x14ac:dyDescent="0.3">
      <c r="A60" s="581"/>
      <c r="B60" s="590"/>
      <c r="C60" s="590"/>
      <c r="D60" s="590"/>
      <c r="E60" s="590"/>
      <c r="F60" s="584"/>
      <c r="G60" s="632"/>
      <c r="H60" s="587"/>
      <c r="I60" s="602"/>
      <c r="J60" s="635"/>
      <c r="K60" s="638"/>
      <c r="L60" s="590"/>
      <c r="M60" s="590"/>
      <c r="N60" s="421">
        <v>45869</v>
      </c>
      <c r="O60" s="584"/>
      <c r="P60" s="414">
        <v>1450</v>
      </c>
      <c r="Q60" s="415">
        <v>45873</v>
      </c>
      <c r="R60" s="416"/>
      <c r="S60" s="414"/>
      <c r="T60" s="414"/>
      <c r="U60" s="587"/>
      <c r="V60" s="623"/>
      <c r="W60" s="596"/>
      <c r="X60" s="2">
        <v>23</v>
      </c>
    </row>
    <row r="61" spans="1:24" s="2" customFormat="1" x14ac:dyDescent="0.3">
      <c r="A61" s="582"/>
      <c r="B61" s="591"/>
      <c r="C61" s="591"/>
      <c r="D61" s="591"/>
      <c r="E61" s="591"/>
      <c r="F61" s="585"/>
      <c r="G61" s="633"/>
      <c r="H61" s="588"/>
      <c r="I61" s="603"/>
      <c r="J61" s="636"/>
      <c r="K61" s="639"/>
      <c r="L61" s="591"/>
      <c r="M61" s="591"/>
      <c r="N61" s="422">
        <v>45898</v>
      </c>
      <c r="O61" s="585"/>
      <c r="P61" s="417">
        <v>1450</v>
      </c>
      <c r="Q61" s="418">
        <v>45902</v>
      </c>
      <c r="R61" s="419"/>
      <c r="S61" s="417"/>
      <c r="T61" s="417"/>
      <c r="U61" s="588"/>
      <c r="V61" s="624"/>
      <c r="W61" s="597"/>
      <c r="X61" s="2">
        <v>23</v>
      </c>
    </row>
    <row r="62" spans="1:24" s="106" customFormat="1" ht="90" customHeight="1" x14ac:dyDescent="0.3">
      <c r="A62" s="516">
        <v>7</v>
      </c>
      <c r="B62" s="504" t="s">
        <v>56</v>
      </c>
      <c r="C62" s="504" t="s">
        <v>146</v>
      </c>
      <c r="D62" s="504" t="s">
        <v>175</v>
      </c>
      <c r="E62" s="504" t="s">
        <v>201</v>
      </c>
      <c r="F62" s="507">
        <v>45654</v>
      </c>
      <c r="G62" s="664" t="s">
        <v>184</v>
      </c>
      <c r="H62" s="510">
        <v>9600</v>
      </c>
      <c r="I62" s="513">
        <f>IF(X62 = 24, H62 + SUM(S62:S63) - SUM(T62:T63) - SUM(P62:P63) - V62,0)</f>
        <v>4800</v>
      </c>
      <c r="J62" s="668">
        <v>2369000660</v>
      </c>
      <c r="K62" s="670" t="s">
        <v>157</v>
      </c>
      <c r="L62" s="504" t="s">
        <v>146</v>
      </c>
      <c r="M62" s="504"/>
      <c r="N62" s="302">
        <v>45747</v>
      </c>
      <c r="O62" s="507" t="s">
        <v>183</v>
      </c>
      <c r="P62" s="293">
        <v>2400</v>
      </c>
      <c r="Q62" s="294">
        <v>45748</v>
      </c>
      <c r="R62" s="295"/>
      <c r="S62" s="293"/>
      <c r="T62" s="293"/>
      <c r="U62" s="510"/>
      <c r="V62" s="662"/>
      <c r="W62" s="530"/>
      <c r="X62" s="106">
        <v>24</v>
      </c>
    </row>
    <row r="63" spans="1:24" s="2" customFormat="1" x14ac:dyDescent="0.3">
      <c r="A63" s="518"/>
      <c r="B63" s="506"/>
      <c r="C63" s="506"/>
      <c r="D63" s="506"/>
      <c r="E63" s="506"/>
      <c r="F63" s="509"/>
      <c r="G63" s="665"/>
      <c r="H63" s="512"/>
      <c r="I63" s="515"/>
      <c r="J63" s="669"/>
      <c r="K63" s="671"/>
      <c r="L63" s="506"/>
      <c r="M63" s="506"/>
      <c r="N63" s="303">
        <v>45838</v>
      </c>
      <c r="O63" s="509"/>
      <c r="P63" s="299">
        <v>2400</v>
      </c>
      <c r="Q63" s="300">
        <v>45846</v>
      </c>
      <c r="R63" s="301"/>
      <c r="S63" s="299"/>
      <c r="T63" s="299"/>
      <c r="U63" s="512"/>
      <c r="V63" s="663"/>
      <c r="W63" s="532"/>
      <c r="X63" s="2">
        <v>24</v>
      </c>
    </row>
    <row r="64" spans="1:24" s="106" customFormat="1" ht="131.25" customHeight="1" x14ac:dyDescent="0.3">
      <c r="A64" s="580">
        <v>8</v>
      </c>
      <c r="B64" s="589" t="s">
        <v>56</v>
      </c>
      <c r="C64" s="589" t="s">
        <v>146</v>
      </c>
      <c r="D64" s="589" t="s">
        <v>176</v>
      </c>
      <c r="E64" s="589" t="s">
        <v>110</v>
      </c>
      <c r="F64" s="583">
        <v>45654</v>
      </c>
      <c r="G64" s="631" t="s">
        <v>188</v>
      </c>
      <c r="H64" s="586">
        <v>30000</v>
      </c>
      <c r="I64" s="601">
        <f>IF(X64 = 25, H64 + SUM(S64:S71) - SUM(T64:T71) - SUM(P64:P71) - V64,0)</f>
        <v>10000</v>
      </c>
      <c r="J64" s="634">
        <v>231107998282</v>
      </c>
      <c r="K64" s="637" t="s">
        <v>187</v>
      </c>
      <c r="L64" s="589" t="s">
        <v>146</v>
      </c>
      <c r="M64" s="589"/>
      <c r="N64" s="420">
        <v>45688</v>
      </c>
      <c r="O64" s="583" t="s">
        <v>183</v>
      </c>
      <c r="P64" s="411">
        <v>2500</v>
      </c>
      <c r="Q64" s="412">
        <v>45693</v>
      </c>
      <c r="R64" s="413"/>
      <c r="S64" s="411"/>
      <c r="T64" s="411"/>
      <c r="U64" s="586"/>
      <c r="V64" s="622"/>
      <c r="W64" s="595"/>
      <c r="X64" s="106">
        <v>25</v>
      </c>
    </row>
    <row r="65" spans="1:24" s="2" customFormat="1" x14ac:dyDescent="0.3">
      <c r="A65" s="581"/>
      <c r="B65" s="590"/>
      <c r="C65" s="590"/>
      <c r="D65" s="590"/>
      <c r="E65" s="590"/>
      <c r="F65" s="584"/>
      <c r="G65" s="632"/>
      <c r="H65" s="587"/>
      <c r="I65" s="602"/>
      <c r="J65" s="635"/>
      <c r="K65" s="638"/>
      <c r="L65" s="590"/>
      <c r="M65" s="590"/>
      <c r="N65" s="421">
        <v>45716</v>
      </c>
      <c r="O65" s="584"/>
      <c r="P65" s="414">
        <v>2500</v>
      </c>
      <c r="Q65" s="415">
        <v>45716</v>
      </c>
      <c r="R65" s="416"/>
      <c r="S65" s="414"/>
      <c r="T65" s="414"/>
      <c r="U65" s="587"/>
      <c r="V65" s="623"/>
      <c r="W65" s="596"/>
      <c r="X65" s="2">
        <v>25</v>
      </c>
    </row>
    <row r="66" spans="1:24" s="2" customFormat="1" x14ac:dyDescent="0.3">
      <c r="A66" s="581"/>
      <c r="B66" s="590"/>
      <c r="C66" s="590"/>
      <c r="D66" s="590"/>
      <c r="E66" s="590"/>
      <c r="F66" s="584"/>
      <c r="G66" s="632"/>
      <c r="H66" s="587"/>
      <c r="I66" s="602"/>
      <c r="J66" s="635"/>
      <c r="K66" s="638"/>
      <c r="L66" s="590"/>
      <c r="M66" s="590"/>
      <c r="N66" s="421">
        <v>45747</v>
      </c>
      <c r="O66" s="584"/>
      <c r="P66" s="414">
        <v>2500</v>
      </c>
      <c r="Q66" s="415">
        <v>45748</v>
      </c>
      <c r="R66" s="416"/>
      <c r="S66" s="414"/>
      <c r="T66" s="414"/>
      <c r="U66" s="587"/>
      <c r="V66" s="623"/>
      <c r="W66" s="596"/>
      <c r="X66" s="2">
        <v>25</v>
      </c>
    </row>
    <row r="67" spans="1:24" s="2" customFormat="1" x14ac:dyDescent="0.3">
      <c r="A67" s="581"/>
      <c r="B67" s="590"/>
      <c r="C67" s="590"/>
      <c r="D67" s="590"/>
      <c r="E67" s="590"/>
      <c r="F67" s="584"/>
      <c r="G67" s="632"/>
      <c r="H67" s="587"/>
      <c r="I67" s="602"/>
      <c r="J67" s="635"/>
      <c r="K67" s="638"/>
      <c r="L67" s="590"/>
      <c r="M67" s="590"/>
      <c r="N67" s="421">
        <v>45777</v>
      </c>
      <c r="O67" s="584"/>
      <c r="P67" s="414">
        <v>2500</v>
      </c>
      <c r="Q67" s="415">
        <v>45777</v>
      </c>
      <c r="R67" s="416"/>
      <c r="S67" s="414"/>
      <c r="T67" s="414"/>
      <c r="U67" s="587"/>
      <c r="V67" s="623"/>
      <c r="W67" s="596"/>
      <c r="X67" s="2">
        <v>25</v>
      </c>
    </row>
    <row r="68" spans="1:24" s="2" customFormat="1" x14ac:dyDescent="0.3">
      <c r="A68" s="581"/>
      <c r="B68" s="590"/>
      <c r="C68" s="590"/>
      <c r="D68" s="590"/>
      <c r="E68" s="590"/>
      <c r="F68" s="584"/>
      <c r="G68" s="632"/>
      <c r="H68" s="587"/>
      <c r="I68" s="602"/>
      <c r="J68" s="635"/>
      <c r="K68" s="638"/>
      <c r="L68" s="590"/>
      <c r="M68" s="590"/>
      <c r="N68" s="421">
        <v>45808</v>
      </c>
      <c r="O68" s="584"/>
      <c r="P68" s="414">
        <v>2500</v>
      </c>
      <c r="Q68" s="415">
        <v>45812</v>
      </c>
      <c r="R68" s="416"/>
      <c r="S68" s="414"/>
      <c r="T68" s="414"/>
      <c r="U68" s="587"/>
      <c r="V68" s="623"/>
      <c r="W68" s="596"/>
      <c r="X68" s="2">
        <v>25</v>
      </c>
    </row>
    <row r="69" spans="1:24" s="2" customFormat="1" x14ac:dyDescent="0.3">
      <c r="A69" s="581"/>
      <c r="B69" s="590"/>
      <c r="C69" s="590"/>
      <c r="D69" s="590"/>
      <c r="E69" s="590"/>
      <c r="F69" s="584"/>
      <c r="G69" s="632"/>
      <c r="H69" s="587"/>
      <c r="I69" s="602"/>
      <c r="J69" s="635"/>
      <c r="K69" s="638"/>
      <c r="L69" s="590"/>
      <c r="M69" s="590"/>
      <c r="N69" s="421">
        <v>45838</v>
      </c>
      <c r="O69" s="584"/>
      <c r="P69" s="414">
        <v>2500</v>
      </c>
      <c r="Q69" s="415">
        <v>45873</v>
      </c>
      <c r="R69" s="416"/>
      <c r="S69" s="414"/>
      <c r="T69" s="414"/>
      <c r="U69" s="587"/>
      <c r="V69" s="623"/>
      <c r="W69" s="596"/>
      <c r="X69" s="2">
        <v>25</v>
      </c>
    </row>
    <row r="70" spans="1:24" s="2" customFormat="1" x14ac:dyDescent="0.3">
      <c r="A70" s="581"/>
      <c r="B70" s="590"/>
      <c r="C70" s="590"/>
      <c r="D70" s="590"/>
      <c r="E70" s="590"/>
      <c r="F70" s="584"/>
      <c r="G70" s="632"/>
      <c r="H70" s="587"/>
      <c r="I70" s="602"/>
      <c r="J70" s="635"/>
      <c r="K70" s="638"/>
      <c r="L70" s="590"/>
      <c r="M70" s="590"/>
      <c r="N70" s="421">
        <v>45869</v>
      </c>
      <c r="O70" s="584"/>
      <c r="P70" s="414">
        <v>2500</v>
      </c>
      <c r="Q70" s="415">
        <v>45873</v>
      </c>
      <c r="R70" s="416"/>
      <c r="S70" s="414"/>
      <c r="T70" s="414"/>
      <c r="U70" s="587"/>
      <c r="V70" s="623"/>
      <c r="W70" s="596"/>
      <c r="X70" s="2">
        <v>25</v>
      </c>
    </row>
    <row r="71" spans="1:24" s="2" customFormat="1" x14ac:dyDescent="0.3">
      <c r="A71" s="582"/>
      <c r="B71" s="591"/>
      <c r="C71" s="591"/>
      <c r="D71" s="591"/>
      <c r="E71" s="591"/>
      <c r="F71" s="585"/>
      <c r="G71" s="633"/>
      <c r="H71" s="588"/>
      <c r="I71" s="603"/>
      <c r="J71" s="636"/>
      <c r="K71" s="639"/>
      <c r="L71" s="591"/>
      <c r="M71" s="591"/>
      <c r="N71" s="422">
        <v>45898</v>
      </c>
      <c r="O71" s="585"/>
      <c r="P71" s="417">
        <v>2500</v>
      </c>
      <c r="Q71" s="418">
        <v>45902</v>
      </c>
      <c r="R71" s="419"/>
      <c r="S71" s="417"/>
      <c r="T71" s="417"/>
      <c r="U71" s="588"/>
      <c r="V71" s="624"/>
      <c r="W71" s="597"/>
      <c r="X71" s="2">
        <v>25</v>
      </c>
    </row>
    <row r="72" spans="1:24" s="106" customFormat="1" ht="90" customHeight="1" x14ac:dyDescent="0.3">
      <c r="A72" s="550">
        <v>9</v>
      </c>
      <c r="B72" s="556" t="s">
        <v>56</v>
      </c>
      <c r="C72" s="556" t="s">
        <v>146</v>
      </c>
      <c r="D72" s="556" t="s">
        <v>147</v>
      </c>
      <c r="E72" s="556" t="s">
        <v>112</v>
      </c>
      <c r="F72" s="552">
        <v>45654</v>
      </c>
      <c r="G72" s="735" t="s">
        <v>189</v>
      </c>
      <c r="H72" s="554">
        <v>195031.2</v>
      </c>
      <c r="I72" s="572">
        <f>IF(X72 = 26, H72 + SUM(S72:S86) - SUM(T72:T86) - SUM(P72:P86) - V72,0)</f>
        <v>2.1827872842550278E-11</v>
      </c>
      <c r="J72" s="739">
        <v>2353020735</v>
      </c>
      <c r="K72" s="627" t="s">
        <v>156</v>
      </c>
      <c r="L72" s="556" t="s">
        <v>146</v>
      </c>
      <c r="M72" s="556"/>
      <c r="N72" s="201">
        <v>45688</v>
      </c>
      <c r="O72" s="552" t="s">
        <v>183</v>
      </c>
      <c r="P72" s="192">
        <v>5812.8</v>
      </c>
      <c r="Q72" s="193">
        <v>45706</v>
      </c>
      <c r="R72" s="194"/>
      <c r="S72" s="192"/>
      <c r="T72" s="192"/>
      <c r="U72" s="554" t="s">
        <v>393</v>
      </c>
      <c r="V72" s="731">
        <v>55421.4</v>
      </c>
      <c r="W72" s="576"/>
      <c r="X72" s="106">
        <v>26</v>
      </c>
    </row>
    <row r="73" spans="1:24" s="2" customFormat="1" x14ac:dyDescent="0.3">
      <c r="A73" s="626"/>
      <c r="B73" s="625"/>
      <c r="C73" s="625"/>
      <c r="D73" s="625"/>
      <c r="E73" s="625"/>
      <c r="F73" s="730"/>
      <c r="G73" s="736"/>
      <c r="H73" s="630"/>
      <c r="I73" s="738"/>
      <c r="J73" s="740"/>
      <c r="K73" s="628"/>
      <c r="L73" s="625"/>
      <c r="M73" s="625"/>
      <c r="N73" s="202">
        <v>45688</v>
      </c>
      <c r="O73" s="730"/>
      <c r="P73" s="195">
        <v>1960</v>
      </c>
      <c r="Q73" s="196">
        <v>45706</v>
      </c>
      <c r="R73" s="197"/>
      <c r="S73" s="195"/>
      <c r="T73" s="195"/>
      <c r="U73" s="630"/>
      <c r="V73" s="732"/>
      <c r="W73" s="734"/>
      <c r="X73" s="2">
        <v>26</v>
      </c>
    </row>
    <row r="74" spans="1:24" s="2" customFormat="1" x14ac:dyDescent="0.3">
      <c r="A74" s="626"/>
      <c r="B74" s="625"/>
      <c r="C74" s="625"/>
      <c r="D74" s="625"/>
      <c r="E74" s="625"/>
      <c r="F74" s="730"/>
      <c r="G74" s="736"/>
      <c r="H74" s="630"/>
      <c r="I74" s="738"/>
      <c r="J74" s="740"/>
      <c r="K74" s="628"/>
      <c r="L74" s="625"/>
      <c r="M74" s="625"/>
      <c r="N74" s="202">
        <v>45688</v>
      </c>
      <c r="O74" s="730"/>
      <c r="P74" s="195">
        <v>10570</v>
      </c>
      <c r="Q74" s="196">
        <v>45706</v>
      </c>
      <c r="R74" s="197"/>
      <c r="S74" s="195"/>
      <c r="T74" s="195"/>
      <c r="U74" s="630"/>
      <c r="V74" s="732"/>
      <c r="W74" s="734"/>
      <c r="X74" s="2">
        <v>26</v>
      </c>
    </row>
    <row r="75" spans="1:24" s="2" customFormat="1" x14ac:dyDescent="0.3">
      <c r="A75" s="626"/>
      <c r="B75" s="625"/>
      <c r="C75" s="625"/>
      <c r="D75" s="625"/>
      <c r="E75" s="625"/>
      <c r="F75" s="730"/>
      <c r="G75" s="736"/>
      <c r="H75" s="630"/>
      <c r="I75" s="738"/>
      <c r="J75" s="740"/>
      <c r="K75" s="628"/>
      <c r="L75" s="625"/>
      <c r="M75" s="625"/>
      <c r="N75" s="202">
        <v>45688</v>
      </c>
      <c r="O75" s="730"/>
      <c r="P75" s="195">
        <v>17267.490000000002</v>
      </c>
      <c r="Q75" s="196">
        <v>45706</v>
      </c>
      <c r="R75" s="197"/>
      <c r="S75" s="195"/>
      <c r="T75" s="195"/>
      <c r="U75" s="630"/>
      <c r="V75" s="732"/>
      <c r="W75" s="734"/>
      <c r="X75" s="2">
        <v>26</v>
      </c>
    </row>
    <row r="76" spans="1:24" s="2" customFormat="1" x14ac:dyDescent="0.3">
      <c r="A76" s="626"/>
      <c r="B76" s="625"/>
      <c r="C76" s="625"/>
      <c r="D76" s="625"/>
      <c r="E76" s="625"/>
      <c r="F76" s="730"/>
      <c r="G76" s="736"/>
      <c r="H76" s="630"/>
      <c r="I76" s="738"/>
      <c r="J76" s="740"/>
      <c r="K76" s="628"/>
      <c r="L76" s="625"/>
      <c r="M76" s="625"/>
      <c r="N76" s="202">
        <v>45688</v>
      </c>
      <c r="O76" s="730"/>
      <c r="P76" s="195">
        <v>14128.11</v>
      </c>
      <c r="Q76" s="196">
        <v>45706</v>
      </c>
      <c r="R76" s="197"/>
      <c r="S76" s="195"/>
      <c r="T76" s="195"/>
      <c r="U76" s="630"/>
      <c r="V76" s="732"/>
      <c r="W76" s="734"/>
      <c r="X76" s="2">
        <v>26</v>
      </c>
    </row>
    <row r="77" spans="1:24" s="2" customFormat="1" x14ac:dyDescent="0.3">
      <c r="A77" s="626"/>
      <c r="B77" s="625"/>
      <c r="C77" s="625"/>
      <c r="D77" s="625"/>
      <c r="E77" s="625"/>
      <c r="F77" s="730"/>
      <c r="G77" s="736"/>
      <c r="H77" s="630"/>
      <c r="I77" s="738"/>
      <c r="J77" s="740"/>
      <c r="K77" s="628"/>
      <c r="L77" s="625"/>
      <c r="M77" s="625"/>
      <c r="N77" s="202">
        <v>45716</v>
      </c>
      <c r="O77" s="730"/>
      <c r="P77" s="195">
        <v>6228</v>
      </c>
      <c r="Q77" s="196">
        <v>45730</v>
      </c>
      <c r="R77" s="197"/>
      <c r="S77" s="195"/>
      <c r="T77" s="195"/>
      <c r="U77" s="630"/>
      <c r="V77" s="732"/>
      <c r="W77" s="734"/>
      <c r="X77" s="2">
        <v>26</v>
      </c>
    </row>
    <row r="78" spans="1:24" s="2" customFormat="1" x14ac:dyDescent="0.3">
      <c r="A78" s="626"/>
      <c r="B78" s="625"/>
      <c r="C78" s="625"/>
      <c r="D78" s="625"/>
      <c r="E78" s="625"/>
      <c r="F78" s="730"/>
      <c r="G78" s="736"/>
      <c r="H78" s="630"/>
      <c r="I78" s="738"/>
      <c r="J78" s="740"/>
      <c r="K78" s="628"/>
      <c r="L78" s="625"/>
      <c r="M78" s="625"/>
      <c r="N78" s="202">
        <v>45716</v>
      </c>
      <c r="O78" s="730"/>
      <c r="P78" s="195">
        <v>2100</v>
      </c>
      <c r="Q78" s="196">
        <v>45730</v>
      </c>
      <c r="R78" s="197"/>
      <c r="S78" s="195"/>
      <c r="T78" s="195"/>
      <c r="U78" s="630"/>
      <c r="V78" s="732"/>
      <c r="W78" s="734"/>
      <c r="X78" s="2">
        <v>26</v>
      </c>
    </row>
    <row r="79" spans="1:24" s="2" customFormat="1" x14ac:dyDescent="0.3">
      <c r="A79" s="626"/>
      <c r="B79" s="625"/>
      <c r="C79" s="625"/>
      <c r="D79" s="625"/>
      <c r="E79" s="625"/>
      <c r="F79" s="730"/>
      <c r="G79" s="736"/>
      <c r="H79" s="630"/>
      <c r="I79" s="738"/>
      <c r="J79" s="740"/>
      <c r="K79" s="628"/>
      <c r="L79" s="625"/>
      <c r="M79" s="625"/>
      <c r="N79" s="202">
        <v>45716</v>
      </c>
      <c r="O79" s="730"/>
      <c r="P79" s="195">
        <v>9590</v>
      </c>
      <c r="Q79" s="196">
        <v>45730</v>
      </c>
      <c r="R79" s="197"/>
      <c r="S79" s="195"/>
      <c r="T79" s="195"/>
      <c r="U79" s="630"/>
      <c r="V79" s="732"/>
      <c r="W79" s="734"/>
      <c r="X79" s="2">
        <v>26</v>
      </c>
    </row>
    <row r="80" spans="1:24" s="2" customFormat="1" x14ac:dyDescent="0.3">
      <c r="A80" s="626"/>
      <c r="B80" s="625"/>
      <c r="C80" s="625"/>
      <c r="D80" s="625"/>
      <c r="E80" s="625"/>
      <c r="F80" s="730"/>
      <c r="G80" s="736"/>
      <c r="H80" s="630"/>
      <c r="I80" s="738"/>
      <c r="J80" s="740"/>
      <c r="K80" s="628"/>
      <c r="L80" s="625"/>
      <c r="M80" s="625"/>
      <c r="N80" s="202">
        <v>45716</v>
      </c>
      <c r="O80" s="730"/>
      <c r="P80" s="195">
        <v>15661.72</v>
      </c>
      <c r="Q80" s="196">
        <v>45730</v>
      </c>
      <c r="R80" s="197"/>
      <c r="S80" s="195"/>
      <c r="T80" s="195"/>
      <c r="U80" s="630"/>
      <c r="V80" s="732"/>
      <c r="W80" s="734"/>
      <c r="X80" s="2">
        <v>26</v>
      </c>
    </row>
    <row r="81" spans="1:24" s="2" customFormat="1" x14ac:dyDescent="0.3">
      <c r="A81" s="626"/>
      <c r="B81" s="625"/>
      <c r="C81" s="625"/>
      <c r="D81" s="625"/>
      <c r="E81" s="625"/>
      <c r="F81" s="730"/>
      <c r="G81" s="736"/>
      <c r="H81" s="630"/>
      <c r="I81" s="738"/>
      <c r="J81" s="740"/>
      <c r="K81" s="628"/>
      <c r="L81" s="625"/>
      <c r="M81" s="625"/>
      <c r="N81" s="202">
        <v>45716</v>
      </c>
      <c r="O81" s="730"/>
      <c r="P81" s="195">
        <v>12814.28</v>
      </c>
      <c r="Q81" s="196">
        <v>45730</v>
      </c>
      <c r="R81" s="197"/>
      <c r="S81" s="195"/>
      <c r="T81" s="195"/>
      <c r="U81" s="630"/>
      <c r="V81" s="732"/>
      <c r="W81" s="734"/>
      <c r="X81" s="2">
        <v>26</v>
      </c>
    </row>
    <row r="82" spans="1:24" s="2" customFormat="1" x14ac:dyDescent="0.3">
      <c r="A82" s="626"/>
      <c r="B82" s="625"/>
      <c r="C82" s="625"/>
      <c r="D82" s="625"/>
      <c r="E82" s="625"/>
      <c r="F82" s="730"/>
      <c r="G82" s="736"/>
      <c r="H82" s="630"/>
      <c r="I82" s="738"/>
      <c r="J82" s="740"/>
      <c r="K82" s="628"/>
      <c r="L82" s="625"/>
      <c r="M82" s="625"/>
      <c r="N82" s="202">
        <v>45747</v>
      </c>
      <c r="O82" s="730"/>
      <c r="P82" s="195">
        <v>6228</v>
      </c>
      <c r="Q82" s="196">
        <v>45761</v>
      </c>
      <c r="R82" s="197"/>
      <c r="S82" s="195"/>
      <c r="T82" s="195"/>
      <c r="U82" s="630"/>
      <c r="V82" s="732"/>
      <c r="W82" s="734"/>
      <c r="X82" s="2">
        <v>26</v>
      </c>
    </row>
    <row r="83" spans="1:24" s="2" customFormat="1" x14ac:dyDescent="0.3">
      <c r="A83" s="626"/>
      <c r="B83" s="625"/>
      <c r="C83" s="625"/>
      <c r="D83" s="625"/>
      <c r="E83" s="625"/>
      <c r="F83" s="730"/>
      <c r="G83" s="736"/>
      <c r="H83" s="630"/>
      <c r="I83" s="738"/>
      <c r="J83" s="740"/>
      <c r="K83" s="628"/>
      <c r="L83" s="625"/>
      <c r="M83" s="625"/>
      <c r="N83" s="202">
        <v>45747</v>
      </c>
      <c r="O83" s="730"/>
      <c r="P83" s="195">
        <v>2100</v>
      </c>
      <c r="Q83" s="196">
        <v>45761</v>
      </c>
      <c r="R83" s="197"/>
      <c r="S83" s="195"/>
      <c r="T83" s="195"/>
      <c r="U83" s="630"/>
      <c r="V83" s="732"/>
      <c r="W83" s="734"/>
      <c r="X83" s="2">
        <v>26</v>
      </c>
    </row>
    <row r="84" spans="1:24" s="2" customFormat="1" x14ac:dyDescent="0.3">
      <c r="A84" s="626"/>
      <c r="B84" s="625"/>
      <c r="C84" s="625"/>
      <c r="D84" s="625"/>
      <c r="E84" s="625"/>
      <c r="F84" s="730"/>
      <c r="G84" s="736"/>
      <c r="H84" s="630"/>
      <c r="I84" s="738"/>
      <c r="J84" s="740"/>
      <c r="K84" s="628"/>
      <c r="L84" s="625"/>
      <c r="M84" s="625"/>
      <c r="N84" s="202">
        <v>45747</v>
      </c>
      <c r="O84" s="730"/>
      <c r="P84" s="195">
        <v>14461.85</v>
      </c>
      <c r="Q84" s="196">
        <v>45761</v>
      </c>
      <c r="R84" s="197"/>
      <c r="S84" s="195"/>
      <c r="T84" s="195"/>
      <c r="U84" s="630"/>
      <c r="V84" s="732"/>
      <c r="W84" s="734"/>
      <c r="X84" s="2">
        <v>26</v>
      </c>
    </row>
    <row r="85" spans="1:24" s="2" customFormat="1" x14ac:dyDescent="0.3">
      <c r="A85" s="626"/>
      <c r="B85" s="625"/>
      <c r="C85" s="625"/>
      <c r="D85" s="625"/>
      <c r="E85" s="625"/>
      <c r="F85" s="730"/>
      <c r="G85" s="736"/>
      <c r="H85" s="630"/>
      <c r="I85" s="738"/>
      <c r="J85" s="740"/>
      <c r="K85" s="628"/>
      <c r="L85" s="625"/>
      <c r="M85" s="625"/>
      <c r="N85" s="202">
        <v>45747</v>
      </c>
      <c r="O85" s="730"/>
      <c r="P85" s="195">
        <v>11832.55</v>
      </c>
      <c r="Q85" s="196">
        <v>45761</v>
      </c>
      <c r="R85" s="197"/>
      <c r="S85" s="195"/>
      <c r="T85" s="195"/>
      <c r="U85" s="630"/>
      <c r="V85" s="732"/>
      <c r="W85" s="734"/>
      <c r="X85" s="2">
        <v>26</v>
      </c>
    </row>
    <row r="86" spans="1:24" s="2" customFormat="1" x14ac:dyDescent="0.3">
      <c r="A86" s="551"/>
      <c r="B86" s="557"/>
      <c r="C86" s="557"/>
      <c r="D86" s="557"/>
      <c r="E86" s="557"/>
      <c r="F86" s="553"/>
      <c r="G86" s="737"/>
      <c r="H86" s="555"/>
      <c r="I86" s="573"/>
      <c r="J86" s="741"/>
      <c r="K86" s="629"/>
      <c r="L86" s="557"/>
      <c r="M86" s="557"/>
      <c r="N86" s="202">
        <v>45747</v>
      </c>
      <c r="O86" s="553"/>
      <c r="P86" s="198">
        <v>8855</v>
      </c>
      <c r="Q86" s="196">
        <v>45761</v>
      </c>
      <c r="R86" s="200"/>
      <c r="S86" s="198"/>
      <c r="T86" s="198"/>
      <c r="U86" s="555"/>
      <c r="V86" s="733"/>
      <c r="W86" s="577"/>
      <c r="X86" s="2">
        <v>26</v>
      </c>
    </row>
    <row r="87" spans="1:24" s="106" customFormat="1" ht="90" customHeight="1" x14ac:dyDescent="0.3">
      <c r="A87" s="550">
        <v>10</v>
      </c>
      <c r="B87" s="556" t="s">
        <v>56</v>
      </c>
      <c r="C87" s="556" t="s">
        <v>146</v>
      </c>
      <c r="D87" s="556" t="s">
        <v>147</v>
      </c>
      <c r="E87" s="556" t="s">
        <v>113</v>
      </c>
      <c r="F87" s="552">
        <v>45654</v>
      </c>
      <c r="G87" s="735" t="s">
        <v>198</v>
      </c>
      <c r="H87" s="554">
        <v>488488</v>
      </c>
      <c r="I87" s="572">
        <f>IF(X87 = 27, H87 + SUM(S87:S89) - SUM(T87:T89) - SUM(P87:P89) - V87,0)</f>
        <v>0</v>
      </c>
      <c r="J87" s="739">
        <v>2353020735</v>
      </c>
      <c r="K87" s="627" t="s">
        <v>156</v>
      </c>
      <c r="L87" s="556" t="s">
        <v>146</v>
      </c>
      <c r="M87" s="556"/>
      <c r="N87" s="201">
        <v>45688</v>
      </c>
      <c r="O87" s="552" t="s">
        <v>164</v>
      </c>
      <c r="P87" s="192">
        <v>123508</v>
      </c>
      <c r="Q87" s="193">
        <v>45706</v>
      </c>
      <c r="R87" s="194"/>
      <c r="S87" s="192"/>
      <c r="T87" s="192"/>
      <c r="U87" s="554" t="s">
        <v>393</v>
      </c>
      <c r="V87" s="731">
        <v>106876</v>
      </c>
      <c r="W87" s="576"/>
      <c r="X87" s="106">
        <v>27</v>
      </c>
    </row>
    <row r="88" spans="1:24" s="2" customFormat="1" x14ac:dyDescent="0.3">
      <c r="A88" s="626"/>
      <c r="B88" s="625"/>
      <c r="C88" s="625"/>
      <c r="D88" s="625"/>
      <c r="E88" s="625"/>
      <c r="F88" s="730"/>
      <c r="G88" s="736"/>
      <c r="H88" s="630"/>
      <c r="I88" s="738"/>
      <c r="J88" s="740"/>
      <c r="K88" s="628"/>
      <c r="L88" s="625"/>
      <c r="M88" s="625"/>
      <c r="N88" s="202">
        <v>45716</v>
      </c>
      <c r="O88" s="730"/>
      <c r="P88" s="195">
        <v>135212</v>
      </c>
      <c r="Q88" s="196">
        <v>45730</v>
      </c>
      <c r="R88" s="197"/>
      <c r="S88" s="195"/>
      <c r="T88" s="195"/>
      <c r="U88" s="630"/>
      <c r="V88" s="732"/>
      <c r="W88" s="734"/>
      <c r="X88" s="2">
        <v>27</v>
      </c>
    </row>
    <row r="89" spans="1:24" s="2" customFormat="1" x14ac:dyDescent="0.3">
      <c r="A89" s="551"/>
      <c r="B89" s="557"/>
      <c r="C89" s="557"/>
      <c r="D89" s="557"/>
      <c r="E89" s="557"/>
      <c r="F89" s="553"/>
      <c r="G89" s="737"/>
      <c r="H89" s="555"/>
      <c r="I89" s="573"/>
      <c r="J89" s="741"/>
      <c r="K89" s="629"/>
      <c r="L89" s="557"/>
      <c r="M89" s="557"/>
      <c r="N89" s="203">
        <v>45747</v>
      </c>
      <c r="O89" s="553"/>
      <c r="P89" s="198">
        <v>122892</v>
      </c>
      <c r="Q89" s="199">
        <v>45761</v>
      </c>
      <c r="R89" s="200"/>
      <c r="S89" s="198"/>
      <c r="T89" s="198"/>
      <c r="U89" s="555"/>
      <c r="V89" s="733"/>
      <c r="W89" s="577"/>
      <c r="X89" s="2">
        <v>27</v>
      </c>
    </row>
    <row r="90" spans="1:24" s="106" customFormat="1" ht="162" customHeight="1" x14ac:dyDescent="0.3">
      <c r="A90" s="580">
        <v>11</v>
      </c>
      <c r="B90" s="589" t="s">
        <v>56</v>
      </c>
      <c r="C90" s="589" t="s">
        <v>146</v>
      </c>
      <c r="D90" s="589" t="s">
        <v>147</v>
      </c>
      <c r="E90" s="589" t="s">
        <v>202</v>
      </c>
      <c r="F90" s="583">
        <v>45677</v>
      </c>
      <c r="G90" s="631" t="s">
        <v>190</v>
      </c>
      <c r="H90" s="586">
        <v>246840</v>
      </c>
      <c r="I90" s="601">
        <f>IF(X90 = 28, H90 + SUM(S90:S113) - SUM(T90:T113) - SUM(P90:P113) - V90,0)</f>
        <v>131630</v>
      </c>
      <c r="J90" s="634">
        <v>235305769122</v>
      </c>
      <c r="K90" s="637" t="s">
        <v>159</v>
      </c>
      <c r="L90" s="589" t="s">
        <v>146</v>
      </c>
      <c r="M90" s="589"/>
      <c r="N90" s="420">
        <v>45688</v>
      </c>
      <c r="O90" s="583" t="s">
        <v>183</v>
      </c>
      <c r="P90" s="411">
        <v>8680</v>
      </c>
      <c r="Q90" s="412">
        <v>45702</v>
      </c>
      <c r="R90" s="413"/>
      <c r="S90" s="411"/>
      <c r="T90" s="411"/>
      <c r="U90" s="586"/>
      <c r="V90" s="622"/>
      <c r="W90" s="595"/>
      <c r="X90" s="106">
        <v>28</v>
      </c>
    </row>
    <row r="91" spans="1:24" s="2" customFormat="1" x14ac:dyDescent="0.3">
      <c r="A91" s="581"/>
      <c r="B91" s="590"/>
      <c r="C91" s="590"/>
      <c r="D91" s="590"/>
      <c r="E91" s="590"/>
      <c r="F91" s="584"/>
      <c r="G91" s="632"/>
      <c r="H91" s="587"/>
      <c r="I91" s="602"/>
      <c r="J91" s="635"/>
      <c r="K91" s="638"/>
      <c r="L91" s="590"/>
      <c r="M91" s="590"/>
      <c r="N91" s="421">
        <v>45688</v>
      </c>
      <c r="O91" s="584"/>
      <c r="P91" s="414">
        <v>2890</v>
      </c>
      <c r="Q91" s="415">
        <v>45702</v>
      </c>
      <c r="R91" s="416"/>
      <c r="S91" s="414"/>
      <c r="T91" s="414"/>
      <c r="U91" s="587"/>
      <c r="V91" s="623"/>
      <c r="W91" s="596"/>
      <c r="X91" s="2">
        <v>28</v>
      </c>
    </row>
    <row r="92" spans="1:24" s="2" customFormat="1" x14ac:dyDescent="0.3">
      <c r="A92" s="581"/>
      <c r="B92" s="590"/>
      <c r="C92" s="590"/>
      <c r="D92" s="590"/>
      <c r="E92" s="590"/>
      <c r="F92" s="584"/>
      <c r="G92" s="632"/>
      <c r="H92" s="587"/>
      <c r="I92" s="602"/>
      <c r="J92" s="635"/>
      <c r="K92" s="638"/>
      <c r="L92" s="590"/>
      <c r="M92" s="590"/>
      <c r="N92" s="421">
        <v>45688</v>
      </c>
      <c r="O92" s="584"/>
      <c r="P92" s="414">
        <v>2550</v>
      </c>
      <c r="Q92" s="415">
        <v>45702</v>
      </c>
      <c r="R92" s="416"/>
      <c r="S92" s="414"/>
      <c r="T92" s="414"/>
      <c r="U92" s="587"/>
      <c r="V92" s="623"/>
      <c r="W92" s="596"/>
      <c r="X92" s="2">
        <v>28</v>
      </c>
    </row>
    <row r="93" spans="1:24" s="2" customFormat="1" x14ac:dyDescent="0.3">
      <c r="A93" s="581"/>
      <c r="B93" s="590"/>
      <c r="C93" s="590"/>
      <c r="D93" s="590"/>
      <c r="E93" s="590"/>
      <c r="F93" s="584"/>
      <c r="G93" s="632"/>
      <c r="H93" s="587"/>
      <c r="I93" s="602"/>
      <c r="J93" s="635"/>
      <c r="K93" s="638"/>
      <c r="L93" s="590"/>
      <c r="M93" s="590"/>
      <c r="N93" s="421">
        <v>45716</v>
      </c>
      <c r="O93" s="584"/>
      <c r="P93" s="414">
        <v>3000</v>
      </c>
      <c r="Q93" s="415">
        <v>45727</v>
      </c>
      <c r="R93" s="416"/>
      <c r="S93" s="414"/>
      <c r="T93" s="414"/>
      <c r="U93" s="587"/>
      <c r="V93" s="623"/>
      <c r="W93" s="596"/>
      <c r="X93" s="2">
        <v>28</v>
      </c>
    </row>
    <row r="94" spans="1:24" s="2" customFormat="1" x14ac:dyDescent="0.3">
      <c r="A94" s="581"/>
      <c r="B94" s="590"/>
      <c r="C94" s="590"/>
      <c r="D94" s="590"/>
      <c r="E94" s="590"/>
      <c r="F94" s="584"/>
      <c r="G94" s="632"/>
      <c r="H94" s="587"/>
      <c r="I94" s="602"/>
      <c r="J94" s="635"/>
      <c r="K94" s="638"/>
      <c r="L94" s="590"/>
      <c r="M94" s="590"/>
      <c r="N94" s="421">
        <v>45716</v>
      </c>
      <c r="O94" s="584"/>
      <c r="P94" s="414">
        <v>7840</v>
      </c>
      <c r="Q94" s="415">
        <v>45727</v>
      </c>
      <c r="R94" s="416"/>
      <c r="S94" s="414"/>
      <c r="T94" s="414"/>
      <c r="U94" s="587"/>
      <c r="V94" s="623"/>
      <c r="W94" s="596"/>
      <c r="X94" s="2">
        <v>28</v>
      </c>
    </row>
    <row r="95" spans="1:24" s="2" customFormat="1" x14ac:dyDescent="0.3">
      <c r="A95" s="581"/>
      <c r="B95" s="590"/>
      <c r="C95" s="590"/>
      <c r="D95" s="590"/>
      <c r="E95" s="590"/>
      <c r="F95" s="584"/>
      <c r="G95" s="632"/>
      <c r="H95" s="587"/>
      <c r="I95" s="602"/>
      <c r="J95" s="635"/>
      <c r="K95" s="638"/>
      <c r="L95" s="590"/>
      <c r="M95" s="590"/>
      <c r="N95" s="421">
        <v>45716</v>
      </c>
      <c r="O95" s="584"/>
      <c r="P95" s="414">
        <v>3400</v>
      </c>
      <c r="Q95" s="415">
        <v>45727</v>
      </c>
      <c r="R95" s="416"/>
      <c r="S95" s="414"/>
      <c r="T95" s="414"/>
      <c r="U95" s="587"/>
      <c r="V95" s="623"/>
      <c r="W95" s="596"/>
      <c r="X95" s="2">
        <v>28</v>
      </c>
    </row>
    <row r="96" spans="1:24" s="2" customFormat="1" x14ac:dyDescent="0.3">
      <c r="A96" s="581"/>
      <c r="B96" s="590"/>
      <c r="C96" s="590"/>
      <c r="D96" s="590"/>
      <c r="E96" s="590"/>
      <c r="F96" s="584"/>
      <c r="G96" s="632"/>
      <c r="H96" s="587"/>
      <c r="I96" s="602"/>
      <c r="J96" s="635"/>
      <c r="K96" s="638"/>
      <c r="L96" s="590"/>
      <c r="M96" s="590"/>
      <c r="N96" s="421">
        <v>45747</v>
      </c>
      <c r="O96" s="584"/>
      <c r="P96" s="414">
        <v>2400</v>
      </c>
      <c r="Q96" s="415">
        <v>45755</v>
      </c>
      <c r="R96" s="416"/>
      <c r="S96" s="414"/>
      <c r="T96" s="414"/>
      <c r="U96" s="587"/>
      <c r="V96" s="623"/>
      <c r="W96" s="596"/>
      <c r="X96" s="2">
        <v>28</v>
      </c>
    </row>
    <row r="97" spans="1:24" s="2" customFormat="1" x14ac:dyDescent="0.3">
      <c r="A97" s="581"/>
      <c r="B97" s="590"/>
      <c r="C97" s="590"/>
      <c r="D97" s="590"/>
      <c r="E97" s="590"/>
      <c r="F97" s="584"/>
      <c r="G97" s="632"/>
      <c r="H97" s="587"/>
      <c r="I97" s="602"/>
      <c r="J97" s="635"/>
      <c r="K97" s="638"/>
      <c r="L97" s="590"/>
      <c r="M97" s="590"/>
      <c r="N97" s="421">
        <v>45747</v>
      </c>
      <c r="O97" s="584"/>
      <c r="P97" s="414">
        <v>2720</v>
      </c>
      <c r="Q97" s="415">
        <v>45755</v>
      </c>
      <c r="R97" s="416"/>
      <c r="S97" s="414"/>
      <c r="T97" s="414"/>
      <c r="U97" s="587"/>
      <c r="V97" s="623"/>
      <c r="W97" s="596"/>
      <c r="X97" s="2">
        <v>28</v>
      </c>
    </row>
    <row r="98" spans="1:24" s="2" customFormat="1" x14ac:dyDescent="0.3">
      <c r="A98" s="581"/>
      <c r="B98" s="590"/>
      <c r="C98" s="590"/>
      <c r="D98" s="590"/>
      <c r="E98" s="590"/>
      <c r="F98" s="584"/>
      <c r="G98" s="632"/>
      <c r="H98" s="587"/>
      <c r="I98" s="602"/>
      <c r="J98" s="635"/>
      <c r="K98" s="638"/>
      <c r="L98" s="590"/>
      <c r="M98" s="590"/>
      <c r="N98" s="421">
        <v>45747</v>
      </c>
      <c r="O98" s="584"/>
      <c r="P98" s="414">
        <v>8540</v>
      </c>
      <c r="Q98" s="415">
        <v>45755</v>
      </c>
      <c r="R98" s="416"/>
      <c r="S98" s="414"/>
      <c r="T98" s="414"/>
      <c r="U98" s="587"/>
      <c r="V98" s="623"/>
      <c r="W98" s="596"/>
      <c r="X98" s="2">
        <v>28</v>
      </c>
    </row>
    <row r="99" spans="1:24" s="2" customFormat="1" x14ac:dyDescent="0.3">
      <c r="A99" s="581"/>
      <c r="B99" s="590"/>
      <c r="C99" s="590"/>
      <c r="D99" s="590"/>
      <c r="E99" s="590"/>
      <c r="F99" s="584"/>
      <c r="G99" s="632"/>
      <c r="H99" s="587"/>
      <c r="I99" s="602"/>
      <c r="J99" s="635"/>
      <c r="K99" s="638"/>
      <c r="L99" s="590"/>
      <c r="M99" s="590"/>
      <c r="N99" s="421">
        <v>45777</v>
      </c>
      <c r="O99" s="584"/>
      <c r="P99" s="414">
        <v>3150</v>
      </c>
      <c r="Q99" s="415">
        <v>45789</v>
      </c>
      <c r="R99" s="416"/>
      <c r="S99" s="414"/>
      <c r="T99" s="414"/>
      <c r="U99" s="587"/>
      <c r="V99" s="623"/>
      <c r="W99" s="596"/>
      <c r="X99" s="2">
        <v>28</v>
      </c>
    </row>
    <row r="100" spans="1:24" s="2" customFormat="1" x14ac:dyDescent="0.3">
      <c r="A100" s="581"/>
      <c r="B100" s="590"/>
      <c r="C100" s="590"/>
      <c r="D100" s="590"/>
      <c r="E100" s="590"/>
      <c r="F100" s="584"/>
      <c r="G100" s="632"/>
      <c r="H100" s="587"/>
      <c r="I100" s="602"/>
      <c r="J100" s="635"/>
      <c r="K100" s="638"/>
      <c r="L100" s="590"/>
      <c r="M100" s="590"/>
      <c r="N100" s="421">
        <v>45777</v>
      </c>
      <c r="O100" s="584"/>
      <c r="P100" s="414">
        <v>3570</v>
      </c>
      <c r="Q100" s="415">
        <v>45789</v>
      </c>
      <c r="R100" s="416"/>
      <c r="S100" s="414"/>
      <c r="T100" s="414"/>
      <c r="U100" s="587"/>
      <c r="V100" s="623"/>
      <c r="W100" s="596"/>
      <c r="X100" s="2">
        <v>28</v>
      </c>
    </row>
    <row r="101" spans="1:24" s="2" customFormat="1" x14ac:dyDescent="0.3">
      <c r="A101" s="581"/>
      <c r="B101" s="590"/>
      <c r="C101" s="590"/>
      <c r="D101" s="590"/>
      <c r="E101" s="590"/>
      <c r="F101" s="584"/>
      <c r="G101" s="632"/>
      <c r="H101" s="587"/>
      <c r="I101" s="602"/>
      <c r="J101" s="635"/>
      <c r="K101" s="638"/>
      <c r="L101" s="590"/>
      <c r="M101" s="590"/>
      <c r="N101" s="421">
        <v>45777</v>
      </c>
      <c r="O101" s="584"/>
      <c r="P101" s="414">
        <v>8400</v>
      </c>
      <c r="Q101" s="415">
        <v>45789</v>
      </c>
      <c r="R101" s="416"/>
      <c r="S101" s="414"/>
      <c r="T101" s="414"/>
      <c r="U101" s="587"/>
      <c r="V101" s="623"/>
      <c r="W101" s="596"/>
      <c r="X101" s="2">
        <v>28</v>
      </c>
    </row>
    <row r="102" spans="1:24" s="2" customFormat="1" x14ac:dyDescent="0.3">
      <c r="A102" s="581"/>
      <c r="B102" s="590"/>
      <c r="C102" s="590"/>
      <c r="D102" s="590"/>
      <c r="E102" s="590"/>
      <c r="F102" s="584"/>
      <c r="G102" s="632"/>
      <c r="H102" s="587"/>
      <c r="I102" s="602"/>
      <c r="J102" s="635"/>
      <c r="K102" s="638"/>
      <c r="L102" s="590"/>
      <c r="M102" s="590"/>
      <c r="N102" s="421">
        <v>45808</v>
      </c>
      <c r="O102" s="584"/>
      <c r="P102" s="414">
        <v>5270</v>
      </c>
      <c r="Q102" s="415">
        <v>45832</v>
      </c>
      <c r="R102" s="416"/>
      <c r="S102" s="414"/>
      <c r="T102" s="414"/>
      <c r="U102" s="587"/>
      <c r="V102" s="623"/>
      <c r="W102" s="596"/>
      <c r="X102" s="2">
        <v>28</v>
      </c>
    </row>
    <row r="103" spans="1:24" s="2" customFormat="1" x14ac:dyDescent="0.3">
      <c r="A103" s="581"/>
      <c r="B103" s="590"/>
      <c r="C103" s="590"/>
      <c r="D103" s="590"/>
      <c r="E103" s="590"/>
      <c r="F103" s="584"/>
      <c r="G103" s="632"/>
      <c r="H103" s="587"/>
      <c r="I103" s="602"/>
      <c r="J103" s="635"/>
      <c r="K103" s="638"/>
      <c r="L103" s="590"/>
      <c r="M103" s="590"/>
      <c r="N103" s="421">
        <v>45808</v>
      </c>
      <c r="O103" s="584"/>
      <c r="P103" s="414">
        <v>4800</v>
      </c>
      <c r="Q103" s="415">
        <v>45832</v>
      </c>
      <c r="R103" s="416"/>
      <c r="S103" s="414"/>
      <c r="T103" s="414"/>
      <c r="U103" s="587"/>
      <c r="V103" s="623"/>
      <c r="W103" s="596"/>
      <c r="X103" s="2">
        <v>28</v>
      </c>
    </row>
    <row r="104" spans="1:24" s="2" customFormat="1" x14ac:dyDescent="0.3">
      <c r="A104" s="581"/>
      <c r="B104" s="590"/>
      <c r="C104" s="590"/>
      <c r="D104" s="590"/>
      <c r="E104" s="590"/>
      <c r="F104" s="584"/>
      <c r="G104" s="632"/>
      <c r="H104" s="587"/>
      <c r="I104" s="602"/>
      <c r="J104" s="635"/>
      <c r="K104" s="638"/>
      <c r="L104" s="590"/>
      <c r="M104" s="590"/>
      <c r="N104" s="421">
        <v>45808</v>
      </c>
      <c r="O104" s="584"/>
      <c r="P104" s="414">
        <v>8540</v>
      </c>
      <c r="Q104" s="415">
        <v>45832</v>
      </c>
      <c r="R104" s="416"/>
      <c r="S104" s="414"/>
      <c r="T104" s="414"/>
      <c r="U104" s="587"/>
      <c r="V104" s="623"/>
      <c r="W104" s="596"/>
      <c r="X104" s="2">
        <v>28</v>
      </c>
    </row>
    <row r="105" spans="1:24" s="2" customFormat="1" x14ac:dyDescent="0.3">
      <c r="A105" s="581"/>
      <c r="B105" s="590"/>
      <c r="C105" s="590"/>
      <c r="D105" s="590"/>
      <c r="E105" s="590"/>
      <c r="F105" s="584"/>
      <c r="G105" s="632"/>
      <c r="H105" s="587"/>
      <c r="I105" s="602"/>
      <c r="J105" s="635"/>
      <c r="K105" s="638"/>
      <c r="L105" s="590"/>
      <c r="M105" s="590"/>
      <c r="N105" s="421">
        <v>45838</v>
      </c>
      <c r="O105" s="584"/>
      <c r="P105" s="414">
        <v>3900</v>
      </c>
      <c r="Q105" s="415">
        <v>45846</v>
      </c>
      <c r="R105" s="416"/>
      <c r="S105" s="414"/>
      <c r="T105" s="414"/>
      <c r="U105" s="587"/>
      <c r="V105" s="623"/>
      <c r="W105" s="596"/>
      <c r="X105" s="2">
        <v>28</v>
      </c>
    </row>
    <row r="106" spans="1:24" s="2" customFormat="1" x14ac:dyDescent="0.3">
      <c r="A106" s="581"/>
      <c r="B106" s="590"/>
      <c r="C106" s="590"/>
      <c r="D106" s="590"/>
      <c r="E106" s="590"/>
      <c r="F106" s="584"/>
      <c r="G106" s="632"/>
      <c r="H106" s="587"/>
      <c r="I106" s="602"/>
      <c r="J106" s="635"/>
      <c r="K106" s="638"/>
      <c r="L106" s="590"/>
      <c r="M106" s="590"/>
      <c r="N106" s="421">
        <v>45838</v>
      </c>
      <c r="O106" s="584"/>
      <c r="P106" s="414">
        <v>4420</v>
      </c>
      <c r="Q106" s="415">
        <v>45846</v>
      </c>
      <c r="R106" s="416"/>
      <c r="S106" s="414"/>
      <c r="T106" s="414"/>
      <c r="U106" s="587"/>
      <c r="V106" s="623"/>
      <c r="W106" s="596"/>
      <c r="X106" s="2">
        <v>28</v>
      </c>
    </row>
    <row r="107" spans="1:24" s="2" customFormat="1" x14ac:dyDescent="0.3">
      <c r="A107" s="581"/>
      <c r="B107" s="590"/>
      <c r="C107" s="590"/>
      <c r="D107" s="590"/>
      <c r="E107" s="590"/>
      <c r="F107" s="584"/>
      <c r="G107" s="632"/>
      <c r="H107" s="587"/>
      <c r="I107" s="602"/>
      <c r="J107" s="635"/>
      <c r="K107" s="638"/>
      <c r="L107" s="590"/>
      <c r="M107" s="590"/>
      <c r="N107" s="421">
        <v>45838</v>
      </c>
      <c r="O107" s="584"/>
      <c r="P107" s="414">
        <v>8400</v>
      </c>
      <c r="Q107" s="415">
        <v>45846</v>
      </c>
      <c r="R107" s="416"/>
      <c r="S107" s="414"/>
      <c r="T107" s="414"/>
      <c r="U107" s="587"/>
      <c r="V107" s="623"/>
      <c r="W107" s="596"/>
      <c r="X107" s="2">
        <v>28</v>
      </c>
    </row>
    <row r="108" spans="1:24" s="2" customFormat="1" x14ac:dyDescent="0.3">
      <c r="A108" s="581"/>
      <c r="B108" s="590"/>
      <c r="C108" s="590"/>
      <c r="D108" s="590"/>
      <c r="E108" s="590"/>
      <c r="F108" s="584"/>
      <c r="G108" s="632"/>
      <c r="H108" s="587"/>
      <c r="I108" s="602"/>
      <c r="J108" s="635"/>
      <c r="K108" s="638"/>
      <c r="L108" s="590"/>
      <c r="M108" s="590"/>
      <c r="N108" s="421">
        <v>45869</v>
      </c>
      <c r="O108" s="584"/>
      <c r="P108" s="414">
        <v>1350</v>
      </c>
      <c r="Q108" s="415">
        <v>45882</v>
      </c>
      <c r="R108" s="416"/>
      <c r="S108" s="414"/>
      <c r="T108" s="414"/>
      <c r="U108" s="587"/>
      <c r="V108" s="623"/>
      <c r="W108" s="596"/>
      <c r="X108" s="2">
        <v>28</v>
      </c>
    </row>
    <row r="109" spans="1:24" s="2" customFormat="1" x14ac:dyDescent="0.3">
      <c r="A109" s="581"/>
      <c r="B109" s="590"/>
      <c r="C109" s="590"/>
      <c r="D109" s="590"/>
      <c r="E109" s="590"/>
      <c r="F109" s="584"/>
      <c r="G109" s="632"/>
      <c r="H109" s="587"/>
      <c r="I109" s="602"/>
      <c r="J109" s="635"/>
      <c r="K109" s="638"/>
      <c r="L109" s="590"/>
      <c r="M109" s="590"/>
      <c r="N109" s="421">
        <v>45869</v>
      </c>
      <c r="O109" s="584"/>
      <c r="P109" s="414">
        <v>8680</v>
      </c>
      <c r="Q109" s="415">
        <v>45882</v>
      </c>
      <c r="R109" s="416"/>
      <c r="S109" s="414"/>
      <c r="T109" s="414"/>
      <c r="U109" s="587"/>
      <c r="V109" s="623"/>
      <c r="W109" s="596"/>
      <c r="X109" s="2">
        <v>28</v>
      </c>
    </row>
    <row r="110" spans="1:24" s="2" customFormat="1" x14ac:dyDescent="0.3">
      <c r="A110" s="581"/>
      <c r="B110" s="590"/>
      <c r="C110" s="590"/>
      <c r="D110" s="590"/>
      <c r="E110" s="590"/>
      <c r="F110" s="584"/>
      <c r="G110" s="632"/>
      <c r="H110" s="587"/>
      <c r="I110" s="602"/>
      <c r="J110" s="635"/>
      <c r="K110" s="638"/>
      <c r="L110" s="590"/>
      <c r="M110" s="590"/>
      <c r="N110" s="421">
        <v>45869</v>
      </c>
      <c r="O110" s="584"/>
      <c r="P110" s="414">
        <v>1530</v>
      </c>
      <c r="Q110" s="415">
        <v>45882</v>
      </c>
      <c r="R110" s="416"/>
      <c r="S110" s="414"/>
      <c r="T110" s="414"/>
      <c r="U110" s="587"/>
      <c r="V110" s="623"/>
      <c r="W110" s="596"/>
      <c r="X110" s="2">
        <v>28</v>
      </c>
    </row>
    <row r="111" spans="1:24" s="2" customFormat="1" x14ac:dyDescent="0.3">
      <c r="A111" s="581"/>
      <c r="B111" s="590"/>
      <c r="C111" s="590"/>
      <c r="D111" s="590"/>
      <c r="E111" s="590"/>
      <c r="F111" s="584"/>
      <c r="G111" s="632"/>
      <c r="H111" s="587"/>
      <c r="I111" s="602"/>
      <c r="J111" s="635"/>
      <c r="K111" s="638"/>
      <c r="L111" s="590"/>
      <c r="M111" s="590"/>
      <c r="N111" s="421">
        <v>45900</v>
      </c>
      <c r="O111" s="584"/>
      <c r="P111" s="414">
        <v>1700</v>
      </c>
      <c r="Q111" s="415">
        <v>45909</v>
      </c>
      <c r="R111" s="416"/>
      <c r="S111" s="414"/>
      <c r="T111" s="414"/>
      <c r="U111" s="587"/>
      <c r="V111" s="623"/>
      <c r="W111" s="596"/>
      <c r="X111" s="2">
        <v>28</v>
      </c>
    </row>
    <row r="112" spans="1:24" s="2" customFormat="1" x14ac:dyDescent="0.3">
      <c r="A112" s="581"/>
      <c r="B112" s="590"/>
      <c r="C112" s="590"/>
      <c r="D112" s="590"/>
      <c r="E112" s="590"/>
      <c r="F112" s="584"/>
      <c r="G112" s="632"/>
      <c r="H112" s="587"/>
      <c r="I112" s="602"/>
      <c r="J112" s="635"/>
      <c r="K112" s="638"/>
      <c r="L112" s="590"/>
      <c r="M112" s="590"/>
      <c r="N112" s="421">
        <v>45900</v>
      </c>
      <c r="O112" s="584"/>
      <c r="P112" s="414">
        <v>1500</v>
      </c>
      <c r="Q112" s="415">
        <v>45909</v>
      </c>
      <c r="R112" s="416"/>
      <c r="S112" s="414"/>
      <c r="T112" s="414"/>
      <c r="U112" s="587"/>
      <c r="V112" s="623"/>
      <c r="W112" s="596"/>
      <c r="X112" s="2">
        <v>28</v>
      </c>
    </row>
    <row r="113" spans="1:24" s="2" customFormat="1" x14ac:dyDescent="0.3">
      <c r="A113" s="582"/>
      <c r="B113" s="591"/>
      <c r="C113" s="591"/>
      <c r="D113" s="591"/>
      <c r="E113" s="591"/>
      <c r="F113" s="585"/>
      <c r="G113" s="633"/>
      <c r="H113" s="588"/>
      <c r="I113" s="603"/>
      <c r="J113" s="636"/>
      <c r="K113" s="639"/>
      <c r="L113" s="591"/>
      <c r="M113" s="591"/>
      <c r="N113" s="422">
        <v>45900</v>
      </c>
      <c r="O113" s="585"/>
      <c r="P113" s="417">
        <v>7980</v>
      </c>
      <c r="Q113" s="418">
        <v>45909</v>
      </c>
      <c r="R113" s="419"/>
      <c r="S113" s="417"/>
      <c r="T113" s="417"/>
      <c r="U113" s="588"/>
      <c r="V113" s="624"/>
      <c r="W113" s="597"/>
      <c r="X113" s="2">
        <v>28</v>
      </c>
    </row>
    <row r="114" spans="1:24" s="106" customFormat="1" ht="131.25" customHeight="1" x14ac:dyDescent="0.3">
      <c r="A114" s="580">
        <v>12</v>
      </c>
      <c r="B114" s="589" t="s">
        <v>56</v>
      </c>
      <c r="C114" s="589" t="s">
        <v>146</v>
      </c>
      <c r="D114" s="589" t="s">
        <v>147</v>
      </c>
      <c r="E114" s="589" t="s">
        <v>203</v>
      </c>
      <c r="F114" s="583">
        <v>45654</v>
      </c>
      <c r="G114" s="631" t="s">
        <v>173</v>
      </c>
      <c r="H114" s="586">
        <v>27331.200000000001</v>
      </c>
      <c r="I114" s="601">
        <f>IF(X114 = 29, H114 + SUM(S114:S121) - SUM(T114:T121) - SUM(P114:P121) - V114,0)</f>
        <v>9110.4000000000015</v>
      </c>
      <c r="J114" s="634">
        <v>2310163739</v>
      </c>
      <c r="K114" s="637" t="s">
        <v>174</v>
      </c>
      <c r="L114" s="589" t="s">
        <v>146</v>
      </c>
      <c r="M114" s="589"/>
      <c r="N114" s="420">
        <v>45688</v>
      </c>
      <c r="O114" s="583" t="s">
        <v>183</v>
      </c>
      <c r="P114" s="411">
        <v>2277.6</v>
      </c>
      <c r="Q114" s="412">
        <v>45716</v>
      </c>
      <c r="R114" s="413"/>
      <c r="S114" s="411"/>
      <c r="T114" s="411"/>
      <c r="U114" s="586"/>
      <c r="V114" s="622"/>
      <c r="W114" s="595"/>
      <c r="X114" s="106">
        <v>29</v>
      </c>
    </row>
    <row r="115" spans="1:24" s="2" customFormat="1" x14ac:dyDescent="0.3">
      <c r="A115" s="581"/>
      <c r="B115" s="590"/>
      <c r="C115" s="590"/>
      <c r="D115" s="590"/>
      <c r="E115" s="590"/>
      <c r="F115" s="584"/>
      <c r="G115" s="632"/>
      <c r="H115" s="587"/>
      <c r="I115" s="602"/>
      <c r="J115" s="635"/>
      <c r="K115" s="638"/>
      <c r="L115" s="590"/>
      <c r="M115" s="590"/>
      <c r="N115" s="421">
        <v>45716</v>
      </c>
      <c r="O115" s="584"/>
      <c r="P115" s="414">
        <v>2277.6</v>
      </c>
      <c r="Q115" s="415">
        <v>45716</v>
      </c>
      <c r="R115" s="416"/>
      <c r="S115" s="414"/>
      <c r="T115" s="414"/>
      <c r="U115" s="587"/>
      <c r="V115" s="623"/>
      <c r="W115" s="596"/>
      <c r="X115" s="2">
        <v>29</v>
      </c>
    </row>
    <row r="116" spans="1:24" s="2" customFormat="1" x14ac:dyDescent="0.3">
      <c r="A116" s="581"/>
      <c r="B116" s="590"/>
      <c r="C116" s="590"/>
      <c r="D116" s="590"/>
      <c r="E116" s="590"/>
      <c r="F116" s="584"/>
      <c r="G116" s="632"/>
      <c r="H116" s="587"/>
      <c r="I116" s="602"/>
      <c r="J116" s="635"/>
      <c r="K116" s="638"/>
      <c r="L116" s="590"/>
      <c r="M116" s="590"/>
      <c r="N116" s="421">
        <v>45747</v>
      </c>
      <c r="O116" s="584"/>
      <c r="P116" s="414">
        <v>2277.6</v>
      </c>
      <c r="Q116" s="415">
        <v>45748</v>
      </c>
      <c r="R116" s="416"/>
      <c r="S116" s="414"/>
      <c r="T116" s="414"/>
      <c r="U116" s="587"/>
      <c r="V116" s="623"/>
      <c r="W116" s="596"/>
      <c r="X116" s="2">
        <v>29</v>
      </c>
    </row>
    <row r="117" spans="1:24" s="2" customFormat="1" x14ac:dyDescent="0.3">
      <c r="A117" s="581"/>
      <c r="B117" s="590"/>
      <c r="C117" s="590"/>
      <c r="D117" s="590"/>
      <c r="E117" s="590"/>
      <c r="F117" s="584"/>
      <c r="G117" s="632"/>
      <c r="H117" s="587"/>
      <c r="I117" s="602"/>
      <c r="J117" s="635"/>
      <c r="K117" s="638"/>
      <c r="L117" s="590"/>
      <c r="M117" s="590"/>
      <c r="N117" s="421">
        <v>45777</v>
      </c>
      <c r="O117" s="584"/>
      <c r="P117" s="414">
        <v>2277.6</v>
      </c>
      <c r="Q117" s="415">
        <v>45777</v>
      </c>
      <c r="R117" s="416"/>
      <c r="S117" s="414"/>
      <c r="T117" s="414"/>
      <c r="U117" s="587"/>
      <c r="V117" s="623"/>
      <c r="W117" s="596"/>
      <c r="X117" s="2">
        <v>29</v>
      </c>
    </row>
    <row r="118" spans="1:24" s="2" customFormat="1" x14ac:dyDescent="0.3">
      <c r="A118" s="581"/>
      <c r="B118" s="590"/>
      <c r="C118" s="590"/>
      <c r="D118" s="590"/>
      <c r="E118" s="590"/>
      <c r="F118" s="584"/>
      <c r="G118" s="632"/>
      <c r="H118" s="587"/>
      <c r="I118" s="602"/>
      <c r="J118" s="635"/>
      <c r="K118" s="638"/>
      <c r="L118" s="590"/>
      <c r="M118" s="590"/>
      <c r="N118" s="421">
        <v>45808</v>
      </c>
      <c r="O118" s="584"/>
      <c r="P118" s="414">
        <v>2277.6</v>
      </c>
      <c r="Q118" s="415">
        <v>45818</v>
      </c>
      <c r="R118" s="416"/>
      <c r="S118" s="414"/>
      <c r="T118" s="414"/>
      <c r="U118" s="587"/>
      <c r="V118" s="623"/>
      <c r="W118" s="596"/>
      <c r="X118" s="2">
        <v>29</v>
      </c>
    </row>
    <row r="119" spans="1:24" s="2" customFormat="1" x14ac:dyDescent="0.3">
      <c r="A119" s="581"/>
      <c r="B119" s="590"/>
      <c r="C119" s="590"/>
      <c r="D119" s="590"/>
      <c r="E119" s="590"/>
      <c r="F119" s="584"/>
      <c r="G119" s="632"/>
      <c r="H119" s="587"/>
      <c r="I119" s="602"/>
      <c r="J119" s="635"/>
      <c r="K119" s="638"/>
      <c r="L119" s="590"/>
      <c r="M119" s="590"/>
      <c r="N119" s="421">
        <v>45838</v>
      </c>
      <c r="O119" s="584"/>
      <c r="P119" s="414">
        <v>2277.6</v>
      </c>
      <c r="Q119" s="415">
        <v>45838</v>
      </c>
      <c r="R119" s="416"/>
      <c r="S119" s="414"/>
      <c r="T119" s="414"/>
      <c r="U119" s="587"/>
      <c r="V119" s="623"/>
      <c r="W119" s="596"/>
      <c r="X119" s="2">
        <v>29</v>
      </c>
    </row>
    <row r="120" spans="1:24" s="2" customFormat="1" x14ac:dyDescent="0.3">
      <c r="A120" s="581"/>
      <c r="B120" s="590"/>
      <c r="C120" s="590"/>
      <c r="D120" s="590"/>
      <c r="E120" s="590"/>
      <c r="F120" s="584"/>
      <c r="G120" s="632"/>
      <c r="H120" s="587"/>
      <c r="I120" s="602"/>
      <c r="J120" s="635"/>
      <c r="K120" s="638"/>
      <c r="L120" s="590"/>
      <c r="M120" s="590"/>
      <c r="N120" s="421">
        <v>45869</v>
      </c>
      <c r="O120" s="584"/>
      <c r="P120" s="414">
        <v>2277.6</v>
      </c>
      <c r="Q120" s="415">
        <v>45873</v>
      </c>
      <c r="R120" s="416"/>
      <c r="S120" s="414"/>
      <c r="T120" s="414"/>
      <c r="U120" s="587"/>
      <c r="V120" s="623"/>
      <c r="W120" s="596"/>
      <c r="X120" s="2">
        <v>29</v>
      </c>
    </row>
    <row r="121" spans="1:24" s="2" customFormat="1" x14ac:dyDescent="0.3">
      <c r="A121" s="582"/>
      <c r="B121" s="591"/>
      <c r="C121" s="591"/>
      <c r="D121" s="591"/>
      <c r="E121" s="591"/>
      <c r="F121" s="585"/>
      <c r="G121" s="633"/>
      <c r="H121" s="588"/>
      <c r="I121" s="603"/>
      <c r="J121" s="636"/>
      <c r="K121" s="639"/>
      <c r="L121" s="591"/>
      <c r="M121" s="591"/>
      <c r="N121" s="422">
        <v>45898</v>
      </c>
      <c r="O121" s="585"/>
      <c r="P121" s="417">
        <v>2277.6</v>
      </c>
      <c r="Q121" s="418">
        <v>45902</v>
      </c>
      <c r="R121" s="419"/>
      <c r="S121" s="417"/>
      <c r="T121" s="417"/>
      <c r="U121" s="588"/>
      <c r="V121" s="624"/>
      <c r="W121" s="597"/>
      <c r="X121" s="2">
        <v>29</v>
      </c>
    </row>
    <row r="122" spans="1:24" s="106" customFormat="1" ht="90" customHeight="1" x14ac:dyDescent="0.3">
      <c r="A122" s="580">
        <v>13</v>
      </c>
      <c r="B122" s="589" t="s">
        <v>56</v>
      </c>
      <c r="C122" s="589" t="s">
        <v>146</v>
      </c>
      <c r="D122" s="589" t="s">
        <v>147</v>
      </c>
      <c r="E122" s="589" t="s">
        <v>113</v>
      </c>
      <c r="F122" s="583">
        <v>45677</v>
      </c>
      <c r="G122" s="631" t="s">
        <v>204</v>
      </c>
      <c r="H122" s="586">
        <v>18000</v>
      </c>
      <c r="I122" s="601">
        <f>IF(X122 = 30, H122 + SUM(S122:S129) - SUM(T122:T129) - SUM(P122:P129) - V122,0)</f>
        <v>6000</v>
      </c>
      <c r="J122" s="634">
        <v>231107998282</v>
      </c>
      <c r="K122" s="637" t="s">
        <v>187</v>
      </c>
      <c r="L122" s="589" t="s">
        <v>146</v>
      </c>
      <c r="M122" s="589"/>
      <c r="N122" s="420">
        <v>45688</v>
      </c>
      <c r="O122" s="583" t="s">
        <v>183</v>
      </c>
      <c r="P122" s="411">
        <v>1500</v>
      </c>
      <c r="Q122" s="412">
        <v>45693</v>
      </c>
      <c r="R122" s="413"/>
      <c r="S122" s="411"/>
      <c r="T122" s="411"/>
      <c r="U122" s="586"/>
      <c r="V122" s="622"/>
      <c r="W122" s="595"/>
      <c r="X122" s="106">
        <v>30</v>
      </c>
    </row>
    <row r="123" spans="1:24" s="2" customFormat="1" x14ac:dyDescent="0.3">
      <c r="A123" s="581"/>
      <c r="B123" s="590"/>
      <c r="C123" s="590"/>
      <c r="D123" s="590"/>
      <c r="E123" s="590"/>
      <c r="F123" s="584"/>
      <c r="G123" s="632"/>
      <c r="H123" s="587"/>
      <c r="I123" s="602"/>
      <c r="J123" s="635"/>
      <c r="K123" s="638"/>
      <c r="L123" s="590"/>
      <c r="M123" s="590"/>
      <c r="N123" s="421">
        <v>45716</v>
      </c>
      <c r="O123" s="584"/>
      <c r="P123" s="414">
        <v>1500</v>
      </c>
      <c r="Q123" s="415">
        <v>45716</v>
      </c>
      <c r="R123" s="416"/>
      <c r="S123" s="414"/>
      <c r="T123" s="414"/>
      <c r="U123" s="587"/>
      <c r="V123" s="623"/>
      <c r="W123" s="596"/>
      <c r="X123" s="2">
        <v>30</v>
      </c>
    </row>
    <row r="124" spans="1:24" s="2" customFormat="1" x14ac:dyDescent="0.3">
      <c r="A124" s="581"/>
      <c r="B124" s="590"/>
      <c r="C124" s="590"/>
      <c r="D124" s="590"/>
      <c r="E124" s="590"/>
      <c r="F124" s="584"/>
      <c r="G124" s="632"/>
      <c r="H124" s="587"/>
      <c r="I124" s="602"/>
      <c r="J124" s="635"/>
      <c r="K124" s="638"/>
      <c r="L124" s="590"/>
      <c r="M124" s="590"/>
      <c r="N124" s="421">
        <v>45747</v>
      </c>
      <c r="O124" s="584"/>
      <c r="P124" s="414">
        <v>1500</v>
      </c>
      <c r="Q124" s="415">
        <v>45748</v>
      </c>
      <c r="R124" s="416"/>
      <c r="S124" s="414"/>
      <c r="T124" s="414"/>
      <c r="U124" s="587"/>
      <c r="V124" s="623"/>
      <c r="W124" s="596"/>
      <c r="X124" s="2">
        <v>30</v>
      </c>
    </row>
    <row r="125" spans="1:24" s="2" customFormat="1" x14ac:dyDescent="0.3">
      <c r="A125" s="581"/>
      <c r="B125" s="590"/>
      <c r="C125" s="590"/>
      <c r="D125" s="590"/>
      <c r="E125" s="590"/>
      <c r="F125" s="584"/>
      <c r="G125" s="632"/>
      <c r="H125" s="587"/>
      <c r="I125" s="602"/>
      <c r="J125" s="635"/>
      <c r="K125" s="638"/>
      <c r="L125" s="590"/>
      <c r="M125" s="590"/>
      <c r="N125" s="421">
        <v>45777</v>
      </c>
      <c r="O125" s="584"/>
      <c r="P125" s="414">
        <v>1500</v>
      </c>
      <c r="Q125" s="415">
        <v>45777</v>
      </c>
      <c r="R125" s="416"/>
      <c r="S125" s="414"/>
      <c r="T125" s="414"/>
      <c r="U125" s="587"/>
      <c r="V125" s="623"/>
      <c r="W125" s="596"/>
      <c r="X125" s="2">
        <v>30</v>
      </c>
    </row>
    <row r="126" spans="1:24" s="2" customFormat="1" x14ac:dyDescent="0.3">
      <c r="A126" s="581"/>
      <c r="B126" s="590"/>
      <c r="C126" s="590"/>
      <c r="D126" s="590"/>
      <c r="E126" s="590"/>
      <c r="F126" s="584"/>
      <c r="G126" s="632"/>
      <c r="H126" s="587"/>
      <c r="I126" s="602"/>
      <c r="J126" s="635"/>
      <c r="K126" s="638"/>
      <c r="L126" s="590"/>
      <c r="M126" s="590"/>
      <c r="N126" s="421">
        <v>45808</v>
      </c>
      <c r="O126" s="584"/>
      <c r="P126" s="414">
        <v>1500</v>
      </c>
      <c r="Q126" s="415">
        <v>45812</v>
      </c>
      <c r="R126" s="416"/>
      <c r="S126" s="414"/>
      <c r="T126" s="414"/>
      <c r="U126" s="587"/>
      <c r="V126" s="623"/>
      <c r="W126" s="596"/>
      <c r="X126" s="2">
        <v>30</v>
      </c>
    </row>
    <row r="127" spans="1:24" s="2" customFormat="1" x14ac:dyDescent="0.3">
      <c r="A127" s="581"/>
      <c r="B127" s="590"/>
      <c r="C127" s="590"/>
      <c r="D127" s="590"/>
      <c r="E127" s="590"/>
      <c r="F127" s="584"/>
      <c r="G127" s="632"/>
      <c r="H127" s="587"/>
      <c r="I127" s="602"/>
      <c r="J127" s="635"/>
      <c r="K127" s="638"/>
      <c r="L127" s="590"/>
      <c r="M127" s="590"/>
      <c r="N127" s="421">
        <v>45873</v>
      </c>
      <c r="O127" s="584"/>
      <c r="P127" s="414">
        <v>1500</v>
      </c>
      <c r="Q127" s="415">
        <v>45838</v>
      </c>
      <c r="R127" s="416"/>
      <c r="S127" s="414"/>
      <c r="T127" s="414"/>
      <c r="U127" s="587"/>
      <c r="V127" s="623"/>
      <c r="W127" s="596"/>
      <c r="X127" s="2">
        <v>30</v>
      </c>
    </row>
    <row r="128" spans="1:24" s="2" customFormat="1" x14ac:dyDescent="0.3">
      <c r="A128" s="581"/>
      <c r="B128" s="590"/>
      <c r="C128" s="590"/>
      <c r="D128" s="590"/>
      <c r="E128" s="590"/>
      <c r="F128" s="584"/>
      <c r="G128" s="632"/>
      <c r="H128" s="587"/>
      <c r="I128" s="602"/>
      <c r="J128" s="635"/>
      <c r="K128" s="638"/>
      <c r="L128" s="590"/>
      <c r="M128" s="590"/>
      <c r="N128" s="421">
        <v>45873</v>
      </c>
      <c r="O128" s="584"/>
      <c r="P128" s="414">
        <v>1500</v>
      </c>
      <c r="Q128" s="415">
        <v>45869</v>
      </c>
      <c r="R128" s="416"/>
      <c r="S128" s="414"/>
      <c r="T128" s="414"/>
      <c r="U128" s="587"/>
      <c r="V128" s="623"/>
      <c r="W128" s="596"/>
      <c r="X128" s="2">
        <v>30</v>
      </c>
    </row>
    <row r="129" spans="1:24" s="2" customFormat="1" x14ac:dyDescent="0.3">
      <c r="A129" s="582"/>
      <c r="B129" s="591"/>
      <c r="C129" s="591"/>
      <c r="D129" s="591"/>
      <c r="E129" s="591"/>
      <c r="F129" s="585"/>
      <c r="G129" s="633"/>
      <c r="H129" s="588"/>
      <c r="I129" s="603"/>
      <c r="J129" s="636"/>
      <c r="K129" s="639"/>
      <c r="L129" s="591"/>
      <c r="M129" s="591"/>
      <c r="N129" s="422">
        <v>45898</v>
      </c>
      <c r="O129" s="585"/>
      <c r="P129" s="417">
        <v>1500</v>
      </c>
      <c r="Q129" s="418">
        <v>45902</v>
      </c>
      <c r="R129" s="419"/>
      <c r="S129" s="417"/>
      <c r="T129" s="417"/>
      <c r="U129" s="588"/>
      <c r="V129" s="624"/>
      <c r="W129" s="597"/>
      <c r="X129" s="2">
        <v>30</v>
      </c>
    </row>
    <row r="130" spans="1:24" s="106" customFormat="1" ht="90" customHeight="1" x14ac:dyDescent="0.3">
      <c r="A130" s="550">
        <v>14</v>
      </c>
      <c r="B130" s="556" t="s">
        <v>56</v>
      </c>
      <c r="C130" s="556" t="s">
        <v>146</v>
      </c>
      <c r="D130" s="556" t="s">
        <v>147</v>
      </c>
      <c r="E130" s="556" t="s">
        <v>115</v>
      </c>
      <c r="F130" s="552">
        <v>45677</v>
      </c>
      <c r="G130" s="735" t="s">
        <v>205</v>
      </c>
      <c r="H130" s="554">
        <v>95004</v>
      </c>
      <c r="I130" s="572">
        <f>IF(X130 = 31, H130 + SUM(S130:S132) - SUM(T130:T132) - SUM(P130:P132) - V130,0)</f>
        <v>0</v>
      </c>
      <c r="J130" s="739">
        <v>2353020735</v>
      </c>
      <c r="K130" s="627" t="s">
        <v>156</v>
      </c>
      <c r="L130" s="556" t="s">
        <v>146</v>
      </c>
      <c r="M130" s="556"/>
      <c r="N130" s="201">
        <v>45677</v>
      </c>
      <c r="O130" s="552" t="s">
        <v>183</v>
      </c>
      <c r="P130" s="192">
        <v>9639</v>
      </c>
      <c r="Q130" s="193">
        <v>45706</v>
      </c>
      <c r="R130" s="194"/>
      <c r="S130" s="192"/>
      <c r="T130" s="192"/>
      <c r="U130" s="554" t="s">
        <v>393</v>
      </c>
      <c r="V130" s="731">
        <v>66240</v>
      </c>
      <c r="W130" s="576"/>
      <c r="X130" s="106">
        <v>31</v>
      </c>
    </row>
    <row r="131" spans="1:24" s="2" customFormat="1" x14ac:dyDescent="0.3">
      <c r="A131" s="626"/>
      <c r="B131" s="625"/>
      <c r="C131" s="625"/>
      <c r="D131" s="625"/>
      <c r="E131" s="625"/>
      <c r="F131" s="730"/>
      <c r="G131" s="736"/>
      <c r="H131" s="630"/>
      <c r="I131" s="738"/>
      <c r="J131" s="740"/>
      <c r="K131" s="628"/>
      <c r="L131" s="625"/>
      <c r="M131" s="625"/>
      <c r="N131" s="202">
        <v>45716</v>
      </c>
      <c r="O131" s="730"/>
      <c r="P131" s="195">
        <v>9909</v>
      </c>
      <c r="Q131" s="196">
        <v>45730</v>
      </c>
      <c r="R131" s="197"/>
      <c r="S131" s="195"/>
      <c r="T131" s="195"/>
      <c r="U131" s="630"/>
      <c r="V131" s="732"/>
      <c r="W131" s="734"/>
      <c r="X131" s="2">
        <v>31</v>
      </c>
    </row>
    <row r="132" spans="1:24" s="2" customFormat="1" x14ac:dyDescent="0.3">
      <c r="A132" s="551"/>
      <c r="B132" s="557"/>
      <c r="C132" s="557"/>
      <c r="D132" s="557"/>
      <c r="E132" s="557"/>
      <c r="F132" s="553"/>
      <c r="G132" s="737"/>
      <c r="H132" s="555"/>
      <c r="I132" s="573"/>
      <c r="J132" s="741"/>
      <c r="K132" s="629"/>
      <c r="L132" s="557"/>
      <c r="M132" s="557"/>
      <c r="N132" s="203">
        <v>45747</v>
      </c>
      <c r="O132" s="553"/>
      <c r="P132" s="198">
        <v>9216</v>
      </c>
      <c r="Q132" s="199">
        <v>45761</v>
      </c>
      <c r="R132" s="200"/>
      <c r="S132" s="198"/>
      <c r="T132" s="198"/>
      <c r="U132" s="555"/>
      <c r="V132" s="733"/>
      <c r="W132" s="577"/>
      <c r="X132" s="2">
        <v>31</v>
      </c>
    </row>
    <row r="133" spans="1:24" s="106" customFormat="1" ht="90" customHeight="1" x14ac:dyDescent="0.3">
      <c r="A133" s="550">
        <v>15</v>
      </c>
      <c r="B133" s="556" t="s">
        <v>56</v>
      </c>
      <c r="C133" s="556" t="s">
        <v>146</v>
      </c>
      <c r="D133" s="556" t="s">
        <v>147</v>
      </c>
      <c r="E133" s="556" t="s">
        <v>116</v>
      </c>
      <c r="F133" s="552">
        <v>45677</v>
      </c>
      <c r="G133" s="735" t="s">
        <v>205</v>
      </c>
      <c r="H133" s="554">
        <v>48048</v>
      </c>
      <c r="I133" s="572">
        <f>IF(X133 = 32, H133 + SUM(S133:S138) - SUM(T133:T138) - SUM(P133:P138) - V133,0)</f>
        <v>0</v>
      </c>
      <c r="J133" s="739">
        <v>2353020735</v>
      </c>
      <c r="K133" s="627" t="s">
        <v>156</v>
      </c>
      <c r="L133" s="556" t="s">
        <v>146</v>
      </c>
      <c r="M133" s="556"/>
      <c r="N133" s="201">
        <v>45688</v>
      </c>
      <c r="O133" s="552" t="s">
        <v>183</v>
      </c>
      <c r="P133" s="192">
        <v>9240</v>
      </c>
      <c r="Q133" s="193">
        <v>45706</v>
      </c>
      <c r="R133" s="194"/>
      <c r="S133" s="192"/>
      <c r="T133" s="192"/>
      <c r="U133" s="554" t="s">
        <v>393</v>
      </c>
      <c r="V133" s="731">
        <v>9394</v>
      </c>
      <c r="W133" s="576"/>
      <c r="X133" s="106">
        <v>32</v>
      </c>
    </row>
    <row r="134" spans="1:24" s="2" customFormat="1" x14ac:dyDescent="0.3">
      <c r="A134" s="626"/>
      <c r="B134" s="625"/>
      <c r="C134" s="625"/>
      <c r="D134" s="625"/>
      <c r="E134" s="625"/>
      <c r="F134" s="730"/>
      <c r="G134" s="736"/>
      <c r="H134" s="630"/>
      <c r="I134" s="738"/>
      <c r="J134" s="740"/>
      <c r="K134" s="628"/>
      <c r="L134" s="625"/>
      <c r="M134" s="625"/>
      <c r="N134" s="202">
        <v>45688</v>
      </c>
      <c r="O134" s="730"/>
      <c r="P134" s="195">
        <v>2310</v>
      </c>
      <c r="Q134" s="196">
        <v>45706</v>
      </c>
      <c r="R134" s="197"/>
      <c r="S134" s="195"/>
      <c r="T134" s="195"/>
      <c r="U134" s="630"/>
      <c r="V134" s="732"/>
      <c r="W134" s="734"/>
      <c r="X134" s="2">
        <v>32</v>
      </c>
    </row>
    <row r="135" spans="1:24" s="2" customFormat="1" x14ac:dyDescent="0.3">
      <c r="A135" s="626"/>
      <c r="B135" s="625"/>
      <c r="C135" s="625"/>
      <c r="D135" s="625"/>
      <c r="E135" s="625"/>
      <c r="F135" s="730"/>
      <c r="G135" s="736"/>
      <c r="H135" s="630"/>
      <c r="I135" s="738"/>
      <c r="J135" s="740"/>
      <c r="K135" s="628"/>
      <c r="L135" s="625"/>
      <c r="M135" s="625"/>
      <c r="N135" s="202">
        <v>45716</v>
      </c>
      <c r="O135" s="730"/>
      <c r="P135" s="195">
        <v>9979.2000000000007</v>
      </c>
      <c r="Q135" s="196">
        <v>45730</v>
      </c>
      <c r="R135" s="197"/>
      <c r="S135" s="195"/>
      <c r="T135" s="195"/>
      <c r="U135" s="630"/>
      <c r="V135" s="732"/>
      <c r="W135" s="734"/>
      <c r="X135" s="2">
        <v>32</v>
      </c>
    </row>
    <row r="136" spans="1:24" s="2" customFormat="1" x14ac:dyDescent="0.3">
      <c r="A136" s="626"/>
      <c r="B136" s="625"/>
      <c r="C136" s="625"/>
      <c r="D136" s="625"/>
      <c r="E136" s="625"/>
      <c r="F136" s="730"/>
      <c r="G136" s="736"/>
      <c r="H136" s="630"/>
      <c r="I136" s="738"/>
      <c r="J136" s="740"/>
      <c r="K136" s="628"/>
      <c r="L136" s="625"/>
      <c r="M136" s="625"/>
      <c r="N136" s="202">
        <v>45716</v>
      </c>
      <c r="O136" s="730"/>
      <c r="P136" s="195">
        <v>2494.8000000000002</v>
      </c>
      <c r="Q136" s="196">
        <v>45730</v>
      </c>
      <c r="R136" s="197"/>
      <c r="S136" s="195"/>
      <c r="T136" s="195"/>
      <c r="U136" s="630"/>
      <c r="V136" s="732"/>
      <c r="W136" s="734"/>
      <c r="X136" s="2">
        <v>32</v>
      </c>
    </row>
    <row r="137" spans="1:24" s="2" customFormat="1" x14ac:dyDescent="0.3">
      <c r="A137" s="626"/>
      <c r="B137" s="625"/>
      <c r="C137" s="625"/>
      <c r="D137" s="625"/>
      <c r="E137" s="625"/>
      <c r="F137" s="730"/>
      <c r="G137" s="736"/>
      <c r="H137" s="630"/>
      <c r="I137" s="738"/>
      <c r="J137" s="740"/>
      <c r="K137" s="628"/>
      <c r="L137" s="625"/>
      <c r="M137" s="625"/>
      <c r="N137" s="202">
        <v>45747</v>
      </c>
      <c r="O137" s="730"/>
      <c r="P137" s="195">
        <v>11704</v>
      </c>
      <c r="Q137" s="196">
        <v>45761</v>
      </c>
      <c r="R137" s="197"/>
      <c r="S137" s="195"/>
      <c r="T137" s="195"/>
      <c r="U137" s="630"/>
      <c r="V137" s="732"/>
      <c r="W137" s="734"/>
      <c r="X137" s="2">
        <v>32</v>
      </c>
    </row>
    <row r="138" spans="1:24" s="2" customFormat="1" x14ac:dyDescent="0.3">
      <c r="A138" s="551"/>
      <c r="B138" s="557"/>
      <c r="C138" s="557"/>
      <c r="D138" s="557"/>
      <c r="E138" s="557"/>
      <c r="F138" s="553"/>
      <c r="G138" s="737"/>
      <c r="H138" s="555"/>
      <c r="I138" s="573"/>
      <c r="J138" s="741"/>
      <c r="K138" s="629"/>
      <c r="L138" s="557"/>
      <c r="M138" s="557"/>
      <c r="N138" s="203">
        <v>45747</v>
      </c>
      <c r="O138" s="553"/>
      <c r="P138" s="198">
        <v>2926</v>
      </c>
      <c r="Q138" s="199">
        <v>45761</v>
      </c>
      <c r="R138" s="200"/>
      <c r="S138" s="198"/>
      <c r="T138" s="198"/>
      <c r="U138" s="555"/>
      <c r="V138" s="733"/>
      <c r="W138" s="577"/>
      <c r="X138" s="2">
        <v>32</v>
      </c>
    </row>
    <row r="139" spans="1:24" s="106" customFormat="1" ht="144" customHeight="1" x14ac:dyDescent="0.3">
      <c r="A139" s="694">
        <v>16</v>
      </c>
      <c r="B139" s="700" t="s">
        <v>56</v>
      </c>
      <c r="C139" s="700" t="s">
        <v>146</v>
      </c>
      <c r="D139" s="700" t="s">
        <v>147</v>
      </c>
      <c r="E139" s="700" t="s">
        <v>206</v>
      </c>
      <c r="F139" s="696">
        <v>45686</v>
      </c>
      <c r="G139" s="722" t="s">
        <v>207</v>
      </c>
      <c r="H139" s="698">
        <v>5640</v>
      </c>
      <c r="I139" s="724">
        <f>IF(X139 = 33, H139 + SUM(S139:S140) - SUM(T139:T140) - SUM(P139:P140) - V139,0)</f>
        <v>0</v>
      </c>
      <c r="J139" s="726">
        <v>6663003127</v>
      </c>
      <c r="K139" s="728" t="s">
        <v>208</v>
      </c>
      <c r="L139" s="700" t="s">
        <v>146</v>
      </c>
      <c r="M139" s="700"/>
      <c r="N139" s="149"/>
      <c r="O139" s="696" t="s">
        <v>209</v>
      </c>
      <c r="P139" s="143">
        <v>1692</v>
      </c>
      <c r="Q139" s="144">
        <v>45693</v>
      </c>
      <c r="R139" s="145"/>
      <c r="S139" s="143"/>
      <c r="T139" s="143"/>
      <c r="U139" s="698"/>
      <c r="V139" s="702"/>
      <c r="W139" s="720"/>
      <c r="X139" s="106">
        <v>33</v>
      </c>
    </row>
    <row r="140" spans="1:24" s="2" customFormat="1" x14ac:dyDescent="0.3">
      <c r="A140" s="695"/>
      <c r="B140" s="701"/>
      <c r="C140" s="701"/>
      <c r="D140" s="701"/>
      <c r="E140" s="701"/>
      <c r="F140" s="697"/>
      <c r="G140" s="723"/>
      <c r="H140" s="699"/>
      <c r="I140" s="725"/>
      <c r="J140" s="727"/>
      <c r="K140" s="729"/>
      <c r="L140" s="701"/>
      <c r="M140" s="701"/>
      <c r="N140" s="150">
        <v>45686</v>
      </c>
      <c r="O140" s="697"/>
      <c r="P140" s="146">
        <v>3948</v>
      </c>
      <c r="Q140" s="147">
        <v>45699</v>
      </c>
      <c r="R140" s="148"/>
      <c r="S140" s="146"/>
      <c r="T140" s="146"/>
      <c r="U140" s="699"/>
      <c r="V140" s="703"/>
      <c r="W140" s="721"/>
      <c r="X140" s="2">
        <v>33</v>
      </c>
    </row>
    <row r="141" spans="1:24" s="106" customFormat="1" ht="108" x14ac:dyDescent="0.3">
      <c r="A141" s="116">
        <v>17</v>
      </c>
      <c r="B141" s="117" t="s">
        <v>56</v>
      </c>
      <c r="C141" s="117" t="s">
        <v>146</v>
      </c>
      <c r="D141" s="117" t="s">
        <v>147</v>
      </c>
      <c r="E141" s="117" t="s">
        <v>130</v>
      </c>
      <c r="F141" s="127">
        <v>45686</v>
      </c>
      <c r="G141" s="120" t="s">
        <v>191</v>
      </c>
      <c r="H141" s="118">
        <v>30850</v>
      </c>
      <c r="I141" s="119">
        <f>IF(X141 = 34, H141 + SUM(S141:S141) - SUM(T141:T141) - SUM(P141:P141) - V141,0)</f>
        <v>0</v>
      </c>
      <c r="J141" s="124">
        <v>235303483777</v>
      </c>
      <c r="K141" s="125" t="s">
        <v>210</v>
      </c>
      <c r="L141" s="117" t="s">
        <v>146</v>
      </c>
      <c r="M141" s="117"/>
      <c r="N141" s="127">
        <v>45688</v>
      </c>
      <c r="O141" s="127" t="s">
        <v>183</v>
      </c>
      <c r="P141" s="118">
        <v>30850</v>
      </c>
      <c r="Q141" s="120">
        <v>45694</v>
      </c>
      <c r="R141" s="117"/>
      <c r="S141" s="118"/>
      <c r="T141" s="118"/>
      <c r="U141" s="118"/>
      <c r="V141" s="126"/>
      <c r="W141" s="123"/>
      <c r="X141" s="106">
        <v>34</v>
      </c>
    </row>
    <row r="142" spans="1:24" s="106" customFormat="1" ht="108" x14ac:dyDescent="0.3">
      <c r="A142" s="116">
        <v>18</v>
      </c>
      <c r="B142" s="117" t="s">
        <v>56</v>
      </c>
      <c r="C142" s="117" t="s">
        <v>146</v>
      </c>
      <c r="D142" s="117" t="s">
        <v>147</v>
      </c>
      <c r="E142" s="117" t="s">
        <v>219</v>
      </c>
      <c r="F142" s="137">
        <v>45708</v>
      </c>
      <c r="G142" s="120" t="s">
        <v>220</v>
      </c>
      <c r="H142" s="118">
        <v>88051.81</v>
      </c>
      <c r="I142" s="119">
        <f>IF(X142 = 35, H142 + SUM(S142:S142) - SUM(T142:T142) - SUM(P142:P142) - V142,0)</f>
        <v>0</v>
      </c>
      <c r="J142" s="124">
        <v>7715995942</v>
      </c>
      <c r="K142" s="125" t="s">
        <v>221</v>
      </c>
      <c r="L142" s="117" t="s">
        <v>146</v>
      </c>
      <c r="M142" s="117"/>
      <c r="N142" s="137">
        <v>45781</v>
      </c>
      <c r="O142" s="137" t="s">
        <v>183</v>
      </c>
      <c r="P142" s="118">
        <v>88051.81</v>
      </c>
      <c r="Q142" s="120">
        <v>45806</v>
      </c>
      <c r="R142" s="117"/>
      <c r="S142" s="118"/>
      <c r="T142" s="118"/>
      <c r="U142" s="118"/>
      <c r="V142" s="126"/>
      <c r="W142" s="136"/>
      <c r="X142" s="106">
        <v>35</v>
      </c>
    </row>
    <row r="143" spans="1:24" s="106" customFormat="1" ht="90" customHeight="1" x14ac:dyDescent="0.3">
      <c r="A143" s="674">
        <v>19</v>
      </c>
      <c r="B143" s="680" t="s">
        <v>56</v>
      </c>
      <c r="C143" s="680" t="s">
        <v>146</v>
      </c>
      <c r="D143" s="680" t="s">
        <v>147</v>
      </c>
      <c r="E143" s="680" t="s">
        <v>229</v>
      </c>
      <c r="F143" s="676">
        <v>45677</v>
      </c>
      <c r="G143" s="686" t="s">
        <v>230</v>
      </c>
      <c r="H143" s="678">
        <v>29510.04</v>
      </c>
      <c r="I143" s="688">
        <f>IF(X143 = 37, H143 + SUM(S143:S144) - SUM(T143:T144) - SUM(P143:P144) - V143,0)</f>
        <v>14755.02</v>
      </c>
      <c r="J143" s="690">
        <v>2353018870</v>
      </c>
      <c r="K143" s="692" t="s">
        <v>231</v>
      </c>
      <c r="L143" s="680" t="s">
        <v>146</v>
      </c>
      <c r="M143" s="680"/>
      <c r="N143" s="164">
        <v>45743</v>
      </c>
      <c r="O143" s="676" t="s">
        <v>183</v>
      </c>
      <c r="P143" s="165">
        <v>7377.51</v>
      </c>
      <c r="Q143" s="166">
        <v>45749</v>
      </c>
      <c r="R143" s="167"/>
      <c r="S143" s="165"/>
      <c r="T143" s="165"/>
      <c r="U143" s="678"/>
      <c r="V143" s="682"/>
      <c r="W143" s="684"/>
      <c r="X143" s="106">
        <v>37</v>
      </c>
    </row>
    <row r="144" spans="1:24" s="2" customFormat="1" x14ac:dyDescent="0.3">
      <c r="A144" s="675"/>
      <c r="B144" s="681"/>
      <c r="C144" s="681"/>
      <c r="D144" s="681"/>
      <c r="E144" s="681"/>
      <c r="F144" s="677"/>
      <c r="G144" s="687"/>
      <c r="H144" s="679"/>
      <c r="I144" s="689"/>
      <c r="J144" s="691"/>
      <c r="K144" s="693"/>
      <c r="L144" s="681"/>
      <c r="M144" s="681"/>
      <c r="N144" s="168">
        <v>45835</v>
      </c>
      <c r="O144" s="677"/>
      <c r="P144" s="169">
        <v>7377.51</v>
      </c>
      <c r="Q144" s="170">
        <v>45835</v>
      </c>
      <c r="R144" s="171"/>
      <c r="S144" s="169"/>
      <c r="T144" s="169"/>
      <c r="U144" s="679"/>
      <c r="V144" s="683"/>
      <c r="W144" s="685"/>
      <c r="X144" s="2">
        <v>37</v>
      </c>
    </row>
    <row r="145" spans="1:24" s="106" customFormat="1" ht="108" x14ac:dyDescent="0.3">
      <c r="A145" s="153">
        <v>20</v>
      </c>
      <c r="B145" s="154" t="s">
        <v>56</v>
      </c>
      <c r="C145" s="154" t="s">
        <v>146</v>
      </c>
      <c r="D145" s="154" t="s">
        <v>147</v>
      </c>
      <c r="E145" s="154" t="s">
        <v>234</v>
      </c>
      <c r="F145" s="162">
        <v>45714</v>
      </c>
      <c r="G145" s="156" t="s">
        <v>236</v>
      </c>
      <c r="H145" s="157">
        <v>2625</v>
      </c>
      <c r="I145" s="158">
        <f>IF(X145 = 38, H145 + SUM(S145:S145) - SUM(T145:T145) - SUM(P145:P145) - V145,0)</f>
        <v>0</v>
      </c>
      <c r="J145" s="159">
        <v>7728499444</v>
      </c>
      <c r="K145" s="160" t="s">
        <v>235</v>
      </c>
      <c r="L145" s="154" t="s">
        <v>146</v>
      </c>
      <c r="M145" s="154"/>
      <c r="N145" s="162">
        <v>45714</v>
      </c>
      <c r="O145" s="162" t="s">
        <v>183</v>
      </c>
      <c r="P145" s="157">
        <v>2625</v>
      </c>
      <c r="Q145" s="156">
        <v>45736</v>
      </c>
      <c r="R145" s="154"/>
      <c r="S145" s="157"/>
      <c r="T145" s="157"/>
      <c r="U145" s="157"/>
      <c r="V145" s="161"/>
      <c r="W145" s="151"/>
      <c r="X145" s="106">
        <v>38</v>
      </c>
    </row>
    <row r="146" spans="1:24" s="106" customFormat="1" ht="108" x14ac:dyDescent="0.3">
      <c r="A146" s="153">
        <v>21</v>
      </c>
      <c r="B146" s="154" t="s">
        <v>56</v>
      </c>
      <c r="C146" s="154" t="s">
        <v>146</v>
      </c>
      <c r="D146" s="154" t="s">
        <v>147</v>
      </c>
      <c r="E146" s="154" t="s">
        <v>121</v>
      </c>
      <c r="F146" s="162">
        <v>45726</v>
      </c>
      <c r="G146" s="156" t="s">
        <v>237</v>
      </c>
      <c r="H146" s="157">
        <v>66800</v>
      </c>
      <c r="I146" s="158">
        <f>IF(X146 = 39, H146 + SUM(S146:S146) - SUM(T146:T146) - SUM(P146:P146) - V146,0)</f>
        <v>0</v>
      </c>
      <c r="J146" s="159">
        <v>235000239811</v>
      </c>
      <c r="K146" s="160" t="s">
        <v>238</v>
      </c>
      <c r="L146" s="154" t="s">
        <v>146</v>
      </c>
      <c r="M146" s="154"/>
      <c r="N146" s="162">
        <v>45726</v>
      </c>
      <c r="O146" s="162" t="s">
        <v>183</v>
      </c>
      <c r="P146" s="157">
        <v>66800</v>
      </c>
      <c r="Q146" s="156">
        <v>45727</v>
      </c>
      <c r="R146" s="154"/>
      <c r="S146" s="157"/>
      <c r="T146" s="157"/>
      <c r="U146" s="157"/>
      <c r="V146" s="161"/>
      <c r="W146" s="151"/>
      <c r="X146" s="106">
        <v>39</v>
      </c>
    </row>
    <row r="147" spans="1:24" s="106" customFormat="1" ht="108" x14ac:dyDescent="0.3">
      <c r="A147" s="153">
        <v>22</v>
      </c>
      <c r="B147" s="154" t="s">
        <v>56</v>
      </c>
      <c r="C147" s="154" t="s">
        <v>146</v>
      </c>
      <c r="D147" s="154" t="s">
        <v>147</v>
      </c>
      <c r="E147" s="154" t="s">
        <v>128</v>
      </c>
      <c r="F147" s="162">
        <v>45740</v>
      </c>
      <c r="G147" s="156" t="s">
        <v>245</v>
      </c>
      <c r="H147" s="157">
        <v>31370</v>
      </c>
      <c r="I147" s="158">
        <f>IF(X147 = 40, H147 + SUM(S147:S147) - SUM(T147:T147) - SUM(P147:P147) - V147,0)</f>
        <v>0</v>
      </c>
      <c r="J147" s="159">
        <v>231500102141</v>
      </c>
      <c r="K147" s="160" t="s">
        <v>246</v>
      </c>
      <c r="L147" s="154" t="s">
        <v>146</v>
      </c>
      <c r="M147" s="154"/>
      <c r="N147" s="162">
        <v>45740</v>
      </c>
      <c r="O147" s="162" t="s">
        <v>183</v>
      </c>
      <c r="P147" s="157">
        <v>31370</v>
      </c>
      <c r="Q147" s="156">
        <v>45741</v>
      </c>
      <c r="R147" s="154"/>
      <c r="S147" s="157"/>
      <c r="T147" s="157"/>
      <c r="U147" s="157"/>
      <c r="V147" s="161"/>
      <c r="W147" s="151"/>
      <c r="X147" s="106">
        <v>40</v>
      </c>
    </row>
    <row r="148" spans="1:24" s="106" customFormat="1" ht="108" x14ac:dyDescent="0.3">
      <c r="A148" s="153">
        <v>23</v>
      </c>
      <c r="B148" s="154" t="s">
        <v>56</v>
      </c>
      <c r="C148" s="154" t="s">
        <v>146</v>
      </c>
      <c r="D148" s="154" t="s">
        <v>147</v>
      </c>
      <c r="E148" s="154" t="s">
        <v>130</v>
      </c>
      <c r="F148" s="162">
        <v>45741</v>
      </c>
      <c r="G148" s="156" t="s">
        <v>191</v>
      </c>
      <c r="H148" s="157">
        <v>24340</v>
      </c>
      <c r="I148" s="158">
        <f>IF(X148 = 41, H148 + SUM(S148:S148) - SUM(T148:T148) - SUM(P148:P148) - V148,0)</f>
        <v>0</v>
      </c>
      <c r="J148" s="159">
        <v>235303483777</v>
      </c>
      <c r="K148" s="160" t="s">
        <v>210</v>
      </c>
      <c r="L148" s="154" t="s">
        <v>146</v>
      </c>
      <c r="M148" s="154"/>
      <c r="N148" s="162">
        <v>45743</v>
      </c>
      <c r="O148" s="162" t="s">
        <v>183</v>
      </c>
      <c r="P148" s="157">
        <v>24340</v>
      </c>
      <c r="Q148" s="156">
        <v>45748</v>
      </c>
      <c r="R148" s="154"/>
      <c r="S148" s="157"/>
      <c r="T148" s="157"/>
      <c r="U148" s="157"/>
      <c r="V148" s="161"/>
      <c r="W148" s="151"/>
      <c r="X148" s="106">
        <v>41</v>
      </c>
    </row>
    <row r="149" spans="1:24" s="106" customFormat="1" ht="108" x14ac:dyDescent="0.3">
      <c r="A149" s="176">
        <v>24</v>
      </c>
      <c r="B149" s="175" t="s">
        <v>56</v>
      </c>
      <c r="C149" s="175" t="s">
        <v>146</v>
      </c>
      <c r="D149" s="175" t="s">
        <v>147</v>
      </c>
      <c r="E149" s="175" t="s">
        <v>247</v>
      </c>
      <c r="F149" s="183">
        <v>45740</v>
      </c>
      <c r="G149" s="177" t="s">
        <v>248</v>
      </c>
      <c r="H149" s="178">
        <v>37440</v>
      </c>
      <c r="I149" s="179">
        <f>IF(X149 = 42, H149 + SUM(S149:S149) - SUM(T149:T149) - SUM(P149:P149) - V149,0)</f>
        <v>0</v>
      </c>
      <c r="J149" s="180">
        <v>2353006498</v>
      </c>
      <c r="K149" s="181" t="s">
        <v>249</v>
      </c>
      <c r="L149" s="175" t="s">
        <v>146</v>
      </c>
      <c r="M149" s="175"/>
      <c r="N149" s="183"/>
      <c r="O149" s="183" t="s">
        <v>183</v>
      </c>
      <c r="P149" s="178">
        <v>37440</v>
      </c>
      <c r="Q149" s="177">
        <v>45818</v>
      </c>
      <c r="R149" s="175"/>
      <c r="S149" s="178"/>
      <c r="T149" s="178"/>
      <c r="U149" s="178"/>
      <c r="V149" s="182"/>
      <c r="W149" s="174"/>
      <c r="X149" s="106">
        <v>42</v>
      </c>
    </row>
    <row r="150" spans="1:24" s="106" customFormat="1" ht="90" customHeight="1" x14ac:dyDescent="0.3">
      <c r="A150" s="496">
        <v>25</v>
      </c>
      <c r="B150" s="502" t="s">
        <v>56</v>
      </c>
      <c r="C150" s="502" t="s">
        <v>162</v>
      </c>
      <c r="D150" s="502" t="s">
        <v>147</v>
      </c>
      <c r="E150" s="502" t="s">
        <v>250</v>
      </c>
      <c r="F150" s="498">
        <v>45743</v>
      </c>
      <c r="G150" s="612" t="s">
        <v>163</v>
      </c>
      <c r="H150" s="500">
        <v>498100</v>
      </c>
      <c r="I150" s="525">
        <f>IF(X150 = 43, H150 + SUM(S150:S154) - SUM(T150:T154) - SUM(P150:P154) - V150,0)</f>
        <v>227211.81</v>
      </c>
      <c r="J150" s="616">
        <v>2310195709</v>
      </c>
      <c r="K150" s="619" t="s">
        <v>200</v>
      </c>
      <c r="L150" s="502" t="s">
        <v>146</v>
      </c>
      <c r="M150" s="502"/>
      <c r="N150" s="363">
        <v>45777</v>
      </c>
      <c r="O150" s="498" t="s">
        <v>183</v>
      </c>
      <c r="P150" s="354">
        <v>70682.5</v>
      </c>
      <c r="Q150" s="355">
        <v>45789</v>
      </c>
      <c r="R150" s="356"/>
      <c r="S150" s="354"/>
      <c r="T150" s="354"/>
      <c r="U150" s="500"/>
      <c r="V150" s="608"/>
      <c r="W150" s="523"/>
      <c r="X150" s="106">
        <v>43</v>
      </c>
    </row>
    <row r="151" spans="1:24" s="2" customFormat="1" x14ac:dyDescent="0.3">
      <c r="A151" s="604"/>
      <c r="B151" s="607"/>
      <c r="C151" s="607"/>
      <c r="D151" s="607"/>
      <c r="E151" s="607"/>
      <c r="F151" s="605"/>
      <c r="G151" s="613"/>
      <c r="H151" s="606"/>
      <c r="I151" s="615"/>
      <c r="J151" s="617"/>
      <c r="K151" s="620"/>
      <c r="L151" s="607"/>
      <c r="M151" s="607"/>
      <c r="N151" s="364">
        <v>45808</v>
      </c>
      <c r="O151" s="605"/>
      <c r="P151" s="357">
        <v>87945.19</v>
      </c>
      <c r="Q151" s="358">
        <v>45818</v>
      </c>
      <c r="R151" s="359"/>
      <c r="S151" s="357"/>
      <c r="T151" s="357"/>
      <c r="U151" s="606"/>
      <c r="V151" s="609"/>
      <c r="W151" s="611"/>
      <c r="X151" s="2">
        <v>43</v>
      </c>
    </row>
    <row r="152" spans="1:24" s="2" customFormat="1" x14ac:dyDescent="0.3">
      <c r="A152" s="604"/>
      <c r="B152" s="607"/>
      <c r="C152" s="607"/>
      <c r="D152" s="607"/>
      <c r="E152" s="607"/>
      <c r="F152" s="605"/>
      <c r="G152" s="613"/>
      <c r="H152" s="606"/>
      <c r="I152" s="615"/>
      <c r="J152" s="617"/>
      <c r="K152" s="620"/>
      <c r="L152" s="607"/>
      <c r="M152" s="607"/>
      <c r="N152" s="364">
        <v>45838</v>
      </c>
      <c r="O152" s="605"/>
      <c r="P152" s="357">
        <v>63998</v>
      </c>
      <c r="Q152" s="358">
        <v>45846</v>
      </c>
      <c r="R152" s="359"/>
      <c r="S152" s="357"/>
      <c r="T152" s="357"/>
      <c r="U152" s="606"/>
      <c r="V152" s="609"/>
      <c r="W152" s="611"/>
      <c r="X152" s="2">
        <v>43</v>
      </c>
    </row>
    <row r="153" spans="1:24" s="2" customFormat="1" x14ac:dyDescent="0.3">
      <c r="A153" s="604"/>
      <c r="B153" s="607"/>
      <c r="C153" s="607"/>
      <c r="D153" s="607"/>
      <c r="E153" s="607"/>
      <c r="F153" s="605"/>
      <c r="G153" s="613"/>
      <c r="H153" s="606"/>
      <c r="I153" s="615"/>
      <c r="J153" s="617"/>
      <c r="K153" s="620"/>
      <c r="L153" s="607"/>
      <c r="M153" s="607"/>
      <c r="N153" s="364">
        <v>45869</v>
      </c>
      <c r="O153" s="605"/>
      <c r="P153" s="357">
        <v>21892.5</v>
      </c>
      <c r="Q153" s="358">
        <v>45883</v>
      </c>
      <c r="R153" s="359"/>
      <c r="S153" s="357"/>
      <c r="T153" s="357"/>
      <c r="U153" s="606"/>
      <c r="V153" s="609"/>
      <c r="W153" s="611"/>
      <c r="X153" s="2">
        <v>43</v>
      </c>
    </row>
    <row r="154" spans="1:24" s="2" customFormat="1" x14ac:dyDescent="0.3">
      <c r="A154" s="497"/>
      <c r="B154" s="503"/>
      <c r="C154" s="503"/>
      <c r="D154" s="503"/>
      <c r="E154" s="503"/>
      <c r="F154" s="499"/>
      <c r="G154" s="614"/>
      <c r="H154" s="501"/>
      <c r="I154" s="526"/>
      <c r="J154" s="618"/>
      <c r="K154" s="621"/>
      <c r="L154" s="503"/>
      <c r="M154" s="503"/>
      <c r="N154" s="365">
        <v>45900</v>
      </c>
      <c r="O154" s="499"/>
      <c r="P154" s="360">
        <v>26370</v>
      </c>
      <c r="Q154" s="361">
        <v>45909</v>
      </c>
      <c r="R154" s="362"/>
      <c r="S154" s="360"/>
      <c r="T154" s="360"/>
      <c r="U154" s="501"/>
      <c r="V154" s="610"/>
      <c r="W154" s="524"/>
      <c r="X154" s="2">
        <v>43</v>
      </c>
    </row>
    <row r="155" spans="1:24" s="106" customFormat="1" ht="108" x14ac:dyDescent="0.3">
      <c r="A155" s="176">
        <v>26</v>
      </c>
      <c r="B155" s="184" t="s">
        <v>56</v>
      </c>
      <c r="C155" s="184" t="s">
        <v>146</v>
      </c>
      <c r="D155" s="184" t="s">
        <v>147</v>
      </c>
      <c r="E155" s="184" t="s">
        <v>258</v>
      </c>
      <c r="F155" s="189">
        <v>45754</v>
      </c>
      <c r="G155" s="177" t="s">
        <v>259</v>
      </c>
      <c r="H155" s="178">
        <v>1297</v>
      </c>
      <c r="I155" s="179">
        <f>IF(X155 = 44, H155 + SUM(S155:S155) - SUM(T155:T155) - SUM(P155:P155) - V155,0)</f>
        <v>0</v>
      </c>
      <c r="J155" s="180">
        <v>2310132554</v>
      </c>
      <c r="K155" s="181" t="s">
        <v>260</v>
      </c>
      <c r="L155" s="184" t="s">
        <v>146</v>
      </c>
      <c r="M155" s="184"/>
      <c r="N155" s="189">
        <v>45770</v>
      </c>
      <c r="O155" s="189" t="s">
        <v>183</v>
      </c>
      <c r="P155" s="178">
        <v>1297</v>
      </c>
      <c r="Q155" s="177">
        <v>45777</v>
      </c>
      <c r="R155" s="184"/>
      <c r="S155" s="178"/>
      <c r="T155" s="178"/>
      <c r="U155" s="178"/>
      <c r="V155" s="182"/>
      <c r="W155" s="185"/>
      <c r="X155" s="106">
        <v>44</v>
      </c>
    </row>
    <row r="156" spans="1:24" s="106" customFormat="1" ht="90" customHeight="1" x14ac:dyDescent="0.3">
      <c r="A156" s="560">
        <v>27</v>
      </c>
      <c r="B156" s="566" t="s">
        <v>56</v>
      </c>
      <c r="C156" s="566" t="s">
        <v>146</v>
      </c>
      <c r="D156" s="566" t="s">
        <v>147</v>
      </c>
      <c r="E156" s="566" t="s">
        <v>132</v>
      </c>
      <c r="F156" s="562">
        <v>45748</v>
      </c>
      <c r="G156" s="754" t="s">
        <v>276</v>
      </c>
      <c r="H156" s="564">
        <v>101920</v>
      </c>
      <c r="I156" s="574">
        <f>IF(X156 = 45, H156 + SUM(S156:S157) - SUM(T156:T157) - SUM(P156:P157) - V156,0)</f>
        <v>0</v>
      </c>
      <c r="J156" s="761">
        <v>2353020735</v>
      </c>
      <c r="K156" s="764" t="s">
        <v>156</v>
      </c>
      <c r="L156" s="566" t="s">
        <v>146</v>
      </c>
      <c r="M156" s="566"/>
      <c r="N156" s="234">
        <v>45800</v>
      </c>
      <c r="O156" s="562" t="s">
        <v>183</v>
      </c>
      <c r="P156" s="228">
        <v>11228</v>
      </c>
      <c r="Q156" s="229">
        <v>45813</v>
      </c>
      <c r="R156" s="230"/>
      <c r="S156" s="228"/>
      <c r="T156" s="228"/>
      <c r="U156" s="564" t="s">
        <v>394</v>
      </c>
      <c r="V156" s="744">
        <v>72702</v>
      </c>
      <c r="W156" s="578"/>
      <c r="X156" s="106">
        <v>45</v>
      </c>
    </row>
    <row r="157" spans="1:24" s="2" customFormat="1" x14ac:dyDescent="0.3">
      <c r="A157" s="561"/>
      <c r="B157" s="567"/>
      <c r="C157" s="567"/>
      <c r="D157" s="567"/>
      <c r="E157" s="567"/>
      <c r="F157" s="563"/>
      <c r="G157" s="767"/>
      <c r="H157" s="565"/>
      <c r="I157" s="575"/>
      <c r="J157" s="768"/>
      <c r="K157" s="769"/>
      <c r="L157" s="567"/>
      <c r="M157" s="567"/>
      <c r="N157" s="235">
        <v>45777</v>
      </c>
      <c r="O157" s="563"/>
      <c r="P157" s="231">
        <v>17990</v>
      </c>
      <c r="Q157" s="232">
        <v>45798</v>
      </c>
      <c r="R157" s="233"/>
      <c r="S157" s="231"/>
      <c r="T157" s="231"/>
      <c r="U157" s="565"/>
      <c r="V157" s="747"/>
      <c r="W157" s="579"/>
      <c r="X157" s="2">
        <v>45</v>
      </c>
    </row>
    <row r="158" spans="1:24" s="106" customFormat="1" ht="90" customHeight="1" x14ac:dyDescent="0.3">
      <c r="A158" s="560">
        <v>28</v>
      </c>
      <c r="B158" s="566" t="s">
        <v>56</v>
      </c>
      <c r="C158" s="566" t="s">
        <v>146</v>
      </c>
      <c r="D158" s="566" t="s">
        <v>147</v>
      </c>
      <c r="E158" s="566" t="s">
        <v>133</v>
      </c>
      <c r="F158" s="562">
        <v>45748</v>
      </c>
      <c r="G158" s="754" t="s">
        <v>276</v>
      </c>
      <c r="H158" s="564">
        <v>334180</v>
      </c>
      <c r="I158" s="574">
        <f>IF(X158 = 46, H158 + SUM(S158:S159) - SUM(T158:T159) - SUM(P158:P159) - V158,0)</f>
        <v>0</v>
      </c>
      <c r="J158" s="761">
        <v>2353020735</v>
      </c>
      <c r="K158" s="764" t="s">
        <v>156</v>
      </c>
      <c r="L158" s="566" t="s">
        <v>146</v>
      </c>
      <c r="M158" s="566"/>
      <c r="N158" s="234">
        <v>45800</v>
      </c>
      <c r="O158" s="562" t="s">
        <v>183</v>
      </c>
      <c r="P158" s="228">
        <v>103180</v>
      </c>
      <c r="Q158" s="229">
        <v>45812</v>
      </c>
      <c r="R158" s="230"/>
      <c r="S158" s="228"/>
      <c r="T158" s="228"/>
      <c r="U158" s="564" t="s">
        <v>394</v>
      </c>
      <c r="V158" s="744">
        <v>75460</v>
      </c>
      <c r="W158" s="578"/>
      <c r="X158" s="106">
        <v>46</v>
      </c>
    </row>
    <row r="159" spans="1:24" s="2" customFormat="1" x14ac:dyDescent="0.3">
      <c r="A159" s="561"/>
      <c r="B159" s="567"/>
      <c r="C159" s="567"/>
      <c r="D159" s="567"/>
      <c r="E159" s="567"/>
      <c r="F159" s="563"/>
      <c r="G159" s="767"/>
      <c r="H159" s="565"/>
      <c r="I159" s="575"/>
      <c r="J159" s="768"/>
      <c r="K159" s="769"/>
      <c r="L159" s="567"/>
      <c r="M159" s="567"/>
      <c r="N159" s="235">
        <v>45777</v>
      </c>
      <c r="O159" s="563"/>
      <c r="P159" s="231">
        <v>155540</v>
      </c>
      <c r="Q159" s="232">
        <v>45798</v>
      </c>
      <c r="R159" s="233"/>
      <c r="S159" s="231"/>
      <c r="T159" s="231"/>
      <c r="U159" s="565"/>
      <c r="V159" s="747"/>
      <c r="W159" s="579"/>
      <c r="X159" s="2">
        <v>46</v>
      </c>
    </row>
    <row r="160" spans="1:24" s="106" customFormat="1" ht="90" customHeight="1" x14ac:dyDescent="0.3">
      <c r="A160" s="560">
        <v>29</v>
      </c>
      <c r="B160" s="566" t="s">
        <v>56</v>
      </c>
      <c r="C160" s="566" t="s">
        <v>146</v>
      </c>
      <c r="D160" s="566" t="s">
        <v>147</v>
      </c>
      <c r="E160" s="566" t="s">
        <v>134</v>
      </c>
      <c r="F160" s="562">
        <v>45748</v>
      </c>
      <c r="G160" s="754" t="s">
        <v>276</v>
      </c>
      <c r="H160" s="564">
        <v>140987</v>
      </c>
      <c r="I160" s="574">
        <f>IF(X160 = 47, H160 + SUM(S160:S169) - SUM(T160:T169) - SUM(P160:P169) - V160,0)</f>
        <v>0</v>
      </c>
      <c r="J160" s="761">
        <v>2353020735</v>
      </c>
      <c r="K160" s="764" t="s">
        <v>156</v>
      </c>
      <c r="L160" s="566" t="s">
        <v>146</v>
      </c>
      <c r="M160" s="566"/>
      <c r="N160" s="234">
        <v>45800</v>
      </c>
      <c r="O160" s="562" t="s">
        <v>183</v>
      </c>
      <c r="P160" s="228">
        <v>3944.4</v>
      </c>
      <c r="Q160" s="229">
        <v>45812</v>
      </c>
      <c r="R160" s="230"/>
      <c r="S160" s="228"/>
      <c r="T160" s="228"/>
      <c r="U160" s="564" t="s">
        <v>394</v>
      </c>
      <c r="V160" s="744">
        <v>48473</v>
      </c>
      <c r="W160" s="578"/>
      <c r="X160" s="106">
        <v>47</v>
      </c>
    </row>
    <row r="161" spans="1:24" s="2" customFormat="1" x14ac:dyDescent="0.3">
      <c r="A161" s="748"/>
      <c r="B161" s="742"/>
      <c r="C161" s="742"/>
      <c r="D161" s="742"/>
      <c r="E161" s="742"/>
      <c r="F161" s="752"/>
      <c r="G161" s="755"/>
      <c r="H161" s="757"/>
      <c r="I161" s="759"/>
      <c r="J161" s="762"/>
      <c r="K161" s="765"/>
      <c r="L161" s="742"/>
      <c r="M161" s="742"/>
      <c r="N161" s="236">
        <v>45800</v>
      </c>
      <c r="O161" s="752"/>
      <c r="P161" s="237">
        <v>1330</v>
      </c>
      <c r="Q161" s="238">
        <v>45812</v>
      </c>
      <c r="R161" s="239"/>
      <c r="S161" s="237"/>
      <c r="T161" s="237"/>
      <c r="U161" s="757"/>
      <c r="V161" s="745"/>
      <c r="W161" s="750"/>
      <c r="X161" s="2">
        <v>47</v>
      </c>
    </row>
    <row r="162" spans="1:24" s="2" customFormat="1" x14ac:dyDescent="0.3">
      <c r="A162" s="748"/>
      <c r="B162" s="742"/>
      <c r="C162" s="742"/>
      <c r="D162" s="742"/>
      <c r="E162" s="742"/>
      <c r="F162" s="752"/>
      <c r="G162" s="755"/>
      <c r="H162" s="757"/>
      <c r="I162" s="759"/>
      <c r="J162" s="762"/>
      <c r="K162" s="765"/>
      <c r="L162" s="742"/>
      <c r="M162" s="742"/>
      <c r="N162" s="236">
        <v>45800</v>
      </c>
      <c r="O162" s="752"/>
      <c r="P162" s="237">
        <v>11375.7</v>
      </c>
      <c r="Q162" s="238">
        <v>45812</v>
      </c>
      <c r="R162" s="239"/>
      <c r="S162" s="237"/>
      <c r="T162" s="237"/>
      <c r="U162" s="757"/>
      <c r="V162" s="745"/>
      <c r="W162" s="750"/>
      <c r="X162" s="2">
        <v>47</v>
      </c>
    </row>
    <row r="163" spans="1:24" s="2" customFormat="1" x14ac:dyDescent="0.3">
      <c r="A163" s="748"/>
      <c r="B163" s="742"/>
      <c r="C163" s="742"/>
      <c r="D163" s="742"/>
      <c r="E163" s="742"/>
      <c r="F163" s="752"/>
      <c r="G163" s="755"/>
      <c r="H163" s="757"/>
      <c r="I163" s="759"/>
      <c r="J163" s="762"/>
      <c r="K163" s="765"/>
      <c r="L163" s="742"/>
      <c r="M163" s="742"/>
      <c r="N163" s="236">
        <v>45800</v>
      </c>
      <c r="O163" s="752"/>
      <c r="P163" s="237">
        <v>9307.5</v>
      </c>
      <c r="Q163" s="238">
        <v>45812</v>
      </c>
      <c r="R163" s="239"/>
      <c r="S163" s="237"/>
      <c r="T163" s="237"/>
      <c r="U163" s="757"/>
      <c r="V163" s="745"/>
      <c r="W163" s="750"/>
      <c r="X163" s="2">
        <v>47</v>
      </c>
    </row>
    <row r="164" spans="1:24" s="2" customFormat="1" x14ac:dyDescent="0.3">
      <c r="A164" s="748"/>
      <c r="B164" s="742"/>
      <c r="C164" s="742"/>
      <c r="D164" s="742"/>
      <c r="E164" s="742"/>
      <c r="F164" s="752"/>
      <c r="G164" s="755"/>
      <c r="H164" s="757"/>
      <c r="I164" s="759"/>
      <c r="J164" s="762"/>
      <c r="K164" s="765"/>
      <c r="L164" s="742"/>
      <c r="M164" s="742"/>
      <c r="N164" s="236">
        <v>45800</v>
      </c>
      <c r="O164" s="752"/>
      <c r="P164" s="237">
        <v>6965</v>
      </c>
      <c r="Q164" s="238">
        <v>45813</v>
      </c>
      <c r="R164" s="239"/>
      <c r="S164" s="237"/>
      <c r="T164" s="237"/>
      <c r="U164" s="757"/>
      <c r="V164" s="745"/>
      <c r="W164" s="750"/>
      <c r="X164" s="2">
        <v>47</v>
      </c>
    </row>
    <row r="165" spans="1:24" s="2" customFormat="1" x14ac:dyDescent="0.3">
      <c r="A165" s="748"/>
      <c r="B165" s="742"/>
      <c r="C165" s="742"/>
      <c r="D165" s="742"/>
      <c r="E165" s="742"/>
      <c r="F165" s="752"/>
      <c r="G165" s="755"/>
      <c r="H165" s="757"/>
      <c r="I165" s="759"/>
      <c r="J165" s="762"/>
      <c r="K165" s="765"/>
      <c r="L165" s="742"/>
      <c r="M165" s="742"/>
      <c r="N165" s="236">
        <v>45777</v>
      </c>
      <c r="O165" s="752"/>
      <c r="P165" s="237">
        <v>16229.26</v>
      </c>
      <c r="Q165" s="238">
        <v>45798</v>
      </c>
      <c r="R165" s="239"/>
      <c r="S165" s="237"/>
      <c r="T165" s="237"/>
      <c r="U165" s="757"/>
      <c r="V165" s="745"/>
      <c r="W165" s="750"/>
      <c r="X165" s="2">
        <v>47</v>
      </c>
    </row>
    <row r="166" spans="1:24" s="2" customFormat="1" x14ac:dyDescent="0.3">
      <c r="A166" s="748"/>
      <c r="B166" s="742"/>
      <c r="C166" s="742"/>
      <c r="D166" s="742"/>
      <c r="E166" s="742"/>
      <c r="F166" s="752"/>
      <c r="G166" s="755"/>
      <c r="H166" s="757"/>
      <c r="I166" s="759"/>
      <c r="J166" s="762"/>
      <c r="K166" s="765"/>
      <c r="L166" s="742"/>
      <c r="M166" s="742"/>
      <c r="N166" s="236">
        <v>45777</v>
      </c>
      <c r="O166" s="752"/>
      <c r="P166" s="237">
        <v>8511.6</v>
      </c>
      <c r="Q166" s="238">
        <v>45798</v>
      </c>
      <c r="R166" s="239"/>
      <c r="S166" s="237"/>
      <c r="T166" s="237"/>
      <c r="U166" s="757"/>
      <c r="V166" s="745"/>
      <c r="W166" s="750"/>
      <c r="X166" s="2">
        <v>47</v>
      </c>
    </row>
    <row r="167" spans="1:24" s="2" customFormat="1" x14ac:dyDescent="0.3">
      <c r="A167" s="748"/>
      <c r="B167" s="742"/>
      <c r="C167" s="742"/>
      <c r="D167" s="742"/>
      <c r="E167" s="742"/>
      <c r="F167" s="752"/>
      <c r="G167" s="755"/>
      <c r="H167" s="757"/>
      <c r="I167" s="759"/>
      <c r="J167" s="762"/>
      <c r="K167" s="765"/>
      <c r="L167" s="742"/>
      <c r="M167" s="742"/>
      <c r="N167" s="236">
        <v>45777</v>
      </c>
      <c r="O167" s="752"/>
      <c r="P167" s="237">
        <v>2870</v>
      </c>
      <c r="Q167" s="238">
        <v>45798</v>
      </c>
      <c r="R167" s="239"/>
      <c r="S167" s="237"/>
      <c r="T167" s="237"/>
      <c r="U167" s="757"/>
      <c r="V167" s="745"/>
      <c r="W167" s="750"/>
      <c r="X167" s="2">
        <v>47</v>
      </c>
    </row>
    <row r="168" spans="1:24" s="2" customFormat="1" x14ac:dyDescent="0.3">
      <c r="A168" s="748"/>
      <c r="B168" s="742"/>
      <c r="C168" s="742"/>
      <c r="D168" s="742"/>
      <c r="E168" s="742"/>
      <c r="F168" s="752"/>
      <c r="G168" s="755"/>
      <c r="H168" s="757"/>
      <c r="I168" s="759"/>
      <c r="J168" s="762"/>
      <c r="K168" s="765"/>
      <c r="L168" s="742"/>
      <c r="M168" s="742"/>
      <c r="N168" s="236">
        <v>45777</v>
      </c>
      <c r="O168" s="752"/>
      <c r="P168" s="237">
        <v>12145</v>
      </c>
      <c r="Q168" s="238">
        <v>45798</v>
      </c>
      <c r="R168" s="239"/>
      <c r="S168" s="237"/>
      <c r="T168" s="237"/>
      <c r="U168" s="757"/>
      <c r="V168" s="745"/>
      <c r="W168" s="750"/>
      <c r="X168" s="2">
        <v>47</v>
      </c>
    </row>
    <row r="169" spans="1:24" s="2" customFormat="1" x14ac:dyDescent="0.3">
      <c r="A169" s="749"/>
      <c r="B169" s="743"/>
      <c r="C169" s="743"/>
      <c r="D169" s="743"/>
      <c r="E169" s="743"/>
      <c r="F169" s="753"/>
      <c r="G169" s="756"/>
      <c r="H169" s="758"/>
      <c r="I169" s="760"/>
      <c r="J169" s="763"/>
      <c r="K169" s="766"/>
      <c r="L169" s="743"/>
      <c r="M169" s="743"/>
      <c r="N169" s="240">
        <v>45777</v>
      </c>
      <c r="O169" s="753"/>
      <c r="P169" s="241">
        <v>19835.54</v>
      </c>
      <c r="Q169" s="242">
        <v>45798</v>
      </c>
      <c r="R169" s="243"/>
      <c r="S169" s="241"/>
      <c r="T169" s="241"/>
      <c r="U169" s="758"/>
      <c r="V169" s="746"/>
      <c r="W169" s="751"/>
      <c r="X169" s="2">
        <v>47</v>
      </c>
    </row>
    <row r="170" spans="1:24" s="106" customFormat="1" ht="90" customHeight="1" x14ac:dyDescent="0.3">
      <c r="A170" s="748">
        <v>30</v>
      </c>
      <c r="B170" s="742" t="s">
        <v>56</v>
      </c>
      <c r="C170" s="742" t="s">
        <v>277</v>
      </c>
      <c r="D170" s="742" t="s">
        <v>147</v>
      </c>
      <c r="E170" s="742" t="s">
        <v>135</v>
      </c>
      <c r="F170" s="752">
        <v>45748</v>
      </c>
      <c r="G170" s="755" t="s">
        <v>276</v>
      </c>
      <c r="H170" s="757">
        <v>37730</v>
      </c>
      <c r="I170" s="759">
        <f>IF(X170 = 48, H170 + SUM(S170:S173) - SUM(T170:T173) - SUM(P170:P173) - V170,0)</f>
        <v>0</v>
      </c>
      <c r="J170" s="762">
        <v>2353020735</v>
      </c>
      <c r="K170" s="765" t="s">
        <v>156</v>
      </c>
      <c r="L170" s="742" t="s">
        <v>146</v>
      </c>
      <c r="M170" s="742"/>
      <c r="N170" s="244">
        <v>45800</v>
      </c>
      <c r="O170" s="752" t="s">
        <v>183</v>
      </c>
      <c r="P170" s="245">
        <v>8377.6</v>
      </c>
      <c r="Q170" s="246">
        <v>45813</v>
      </c>
      <c r="R170" s="247"/>
      <c r="S170" s="245"/>
      <c r="T170" s="245"/>
      <c r="U170" s="757" t="s">
        <v>394</v>
      </c>
      <c r="V170" s="745">
        <v>8778</v>
      </c>
      <c r="W170" s="750"/>
      <c r="X170" s="106">
        <v>48</v>
      </c>
    </row>
    <row r="171" spans="1:24" s="2" customFormat="1" x14ac:dyDescent="0.3">
      <c r="A171" s="748"/>
      <c r="B171" s="742"/>
      <c r="C171" s="742"/>
      <c r="D171" s="742"/>
      <c r="E171" s="742"/>
      <c r="F171" s="752"/>
      <c r="G171" s="755"/>
      <c r="H171" s="757"/>
      <c r="I171" s="759"/>
      <c r="J171" s="762"/>
      <c r="K171" s="765"/>
      <c r="L171" s="742"/>
      <c r="M171" s="742"/>
      <c r="N171" s="236">
        <v>45800</v>
      </c>
      <c r="O171" s="752"/>
      <c r="P171" s="237">
        <v>2094.4</v>
      </c>
      <c r="Q171" s="238">
        <v>45813</v>
      </c>
      <c r="R171" s="239"/>
      <c r="S171" s="237"/>
      <c r="T171" s="237"/>
      <c r="U171" s="757"/>
      <c r="V171" s="745"/>
      <c r="W171" s="750"/>
      <c r="X171" s="2">
        <v>48</v>
      </c>
    </row>
    <row r="172" spans="1:24" s="2" customFormat="1" x14ac:dyDescent="0.3">
      <c r="A172" s="748"/>
      <c r="B172" s="742"/>
      <c r="C172" s="742"/>
      <c r="D172" s="742"/>
      <c r="E172" s="742"/>
      <c r="F172" s="752"/>
      <c r="G172" s="755"/>
      <c r="H172" s="757"/>
      <c r="I172" s="759"/>
      <c r="J172" s="762"/>
      <c r="K172" s="765"/>
      <c r="L172" s="742"/>
      <c r="M172" s="742"/>
      <c r="N172" s="236">
        <v>45777</v>
      </c>
      <c r="O172" s="752"/>
      <c r="P172" s="237">
        <v>3696</v>
      </c>
      <c r="Q172" s="238">
        <v>45798</v>
      </c>
      <c r="R172" s="239"/>
      <c r="S172" s="237"/>
      <c r="T172" s="237"/>
      <c r="U172" s="757"/>
      <c r="V172" s="745"/>
      <c r="W172" s="750"/>
      <c r="X172" s="2">
        <v>48</v>
      </c>
    </row>
    <row r="173" spans="1:24" s="2" customFormat="1" x14ac:dyDescent="0.3">
      <c r="A173" s="561"/>
      <c r="B173" s="567"/>
      <c r="C173" s="567"/>
      <c r="D173" s="567"/>
      <c r="E173" s="567"/>
      <c r="F173" s="563"/>
      <c r="G173" s="767"/>
      <c r="H173" s="565"/>
      <c r="I173" s="575"/>
      <c r="J173" s="768"/>
      <c r="K173" s="769"/>
      <c r="L173" s="567"/>
      <c r="M173" s="567"/>
      <c r="N173" s="235">
        <v>45777</v>
      </c>
      <c r="O173" s="563"/>
      <c r="P173" s="231">
        <v>14784</v>
      </c>
      <c r="Q173" s="232">
        <v>45433</v>
      </c>
      <c r="R173" s="233"/>
      <c r="S173" s="231"/>
      <c r="T173" s="231"/>
      <c r="U173" s="565"/>
      <c r="V173" s="747"/>
      <c r="W173" s="579"/>
      <c r="X173" s="2">
        <v>48</v>
      </c>
    </row>
    <row r="174" spans="1:24" s="106" customFormat="1" ht="108" x14ac:dyDescent="0.3">
      <c r="A174" s="209">
        <v>31</v>
      </c>
      <c r="B174" s="205" t="s">
        <v>56</v>
      </c>
      <c r="C174" s="205" t="s">
        <v>146</v>
      </c>
      <c r="D174" s="205" t="s">
        <v>147</v>
      </c>
      <c r="E174" s="205" t="s">
        <v>281</v>
      </c>
      <c r="F174" s="216">
        <v>45783</v>
      </c>
      <c r="G174" s="210" t="s">
        <v>282</v>
      </c>
      <c r="H174" s="211">
        <v>21340</v>
      </c>
      <c r="I174" s="212">
        <f>IF(X174 = 49, H174 + SUM(S174:S174) - SUM(T174:T174) - SUM(P174:P174) - V174,0)</f>
        <v>0</v>
      </c>
      <c r="J174" s="213">
        <v>235000239811</v>
      </c>
      <c r="K174" s="214" t="s">
        <v>238</v>
      </c>
      <c r="L174" s="205" t="s">
        <v>146</v>
      </c>
      <c r="M174" s="205"/>
      <c r="N174" s="216">
        <v>45784</v>
      </c>
      <c r="O174" s="216" t="s">
        <v>183</v>
      </c>
      <c r="P174" s="211">
        <v>21340</v>
      </c>
      <c r="Q174" s="210">
        <v>45790</v>
      </c>
      <c r="R174" s="205"/>
      <c r="S174" s="211"/>
      <c r="T174" s="211"/>
      <c r="U174" s="211"/>
      <c r="V174" s="215"/>
      <c r="W174" s="204"/>
      <c r="X174" s="106">
        <v>49</v>
      </c>
    </row>
    <row r="175" spans="1:24" s="106" customFormat="1" ht="108" x14ac:dyDescent="0.3">
      <c r="A175" s="209">
        <v>32</v>
      </c>
      <c r="B175" s="205" t="s">
        <v>56</v>
      </c>
      <c r="C175" s="205" t="s">
        <v>146</v>
      </c>
      <c r="D175" s="205" t="s">
        <v>147</v>
      </c>
      <c r="E175" s="205" t="s">
        <v>284</v>
      </c>
      <c r="F175" s="216">
        <v>45783</v>
      </c>
      <c r="G175" s="210" t="s">
        <v>283</v>
      </c>
      <c r="H175" s="211">
        <v>4800</v>
      </c>
      <c r="I175" s="212">
        <f>IF(X175 = 50, H175 + SUM(S175:S175) - SUM(T175:T175) - SUM(P175:P175) - V175,0)</f>
        <v>0</v>
      </c>
      <c r="J175" s="213">
        <v>235305769122</v>
      </c>
      <c r="K175" s="214" t="s">
        <v>159</v>
      </c>
      <c r="L175" s="205" t="s">
        <v>146</v>
      </c>
      <c r="M175" s="205"/>
      <c r="N175" s="216">
        <v>45783</v>
      </c>
      <c r="O175" s="216" t="s">
        <v>183</v>
      </c>
      <c r="P175" s="211">
        <v>4800</v>
      </c>
      <c r="Q175" s="210">
        <v>45789</v>
      </c>
      <c r="R175" s="205"/>
      <c r="S175" s="211"/>
      <c r="T175" s="211"/>
      <c r="U175" s="211"/>
      <c r="V175" s="215"/>
      <c r="W175" s="204"/>
      <c r="X175" s="106">
        <v>50</v>
      </c>
    </row>
    <row r="176" spans="1:24" s="106" customFormat="1" ht="108" x14ac:dyDescent="0.3">
      <c r="A176" s="209">
        <v>33</v>
      </c>
      <c r="B176" s="205" t="s">
        <v>56</v>
      </c>
      <c r="C176" s="205" t="s">
        <v>146</v>
      </c>
      <c r="D176" s="205" t="s">
        <v>147</v>
      </c>
      <c r="E176" s="205" t="s">
        <v>292</v>
      </c>
      <c r="F176" s="216">
        <v>45789</v>
      </c>
      <c r="G176" s="210" t="s">
        <v>191</v>
      </c>
      <c r="H176" s="211">
        <v>2000</v>
      </c>
      <c r="I176" s="212">
        <f>IF(X176 = 51, H176 + SUM(S176:S176) - SUM(T176:T176) - SUM(P176:P176) - V176,0)</f>
        <v>0</v>
      </c>
      <c r="J176" s="213">
        <v>235303483777</v>
      </c>
      <c r="K176" s="214" t="s">
        <v>210</v>
      </c>
      <c r="L176" s="205" t="s">
        <v>146</v>
      </c>
      <c r="M176" s="205"/>
      <c r="N176" s="216">
        <v>45789</v>
      </c>
      <c r="O176" s="216" t="s">
        <v>183</v>
      </c>
      <c r="P176" s="211">
        <v>2000</v>
      </c>
      <c r="Q176" s="210">
        <v>45792</v>
      </c>
      <c r="R176" s="205"/>
      <c r="S176" s="211"/>
      <c r="T176" s="211"/>
      <c r="U176" s="211"/>
      <c r="V176" s="215"/>
      <c r="W176" s="204"/>
      <c r="X176" s="106">
        <v>51</v>
      </c>
    </row>
    <row r="177" spans="1:24" s="106" customFormat="1" ht="108" x14ac:dyDescent="0.3">
      <c r="A177" s="209">
        <v>34</v>
      </c>
      <c r="B177" s="205" t="s">
        <v>56</v>
      </c>
      <c r="C177" s="205" t="s">
        <v>146</v>
      </c>
      <c r="D177" s="205" t="s">
        <v>147</v>
      </c>
      <c r="E177" s="205" t="s">
        <v>297</v>
      </c>
      <c r="F177" s="216">
        <v>45791</v>
      </c>
      <c r="G177" s="210" t="s">
        <v>191</v>
      </c>
      <c r="H177" s="211">
        <v>2800</v>
      </c>
      <c r="I177" s="212">
        <f>IF(X177 = 52, H177 + SUM(S177:S177) - SUM(T177:T177) - SUM(P177:P177) - V177,0)</f>
        <v>0</v>
      </c>
      <c r="J177" s="213">
        <v>235303483777</v>
      </c>
      <c r="K177" s="214" t="s">
        <v>210</v>
      </c>
      <c r="L177" s="205" t="s">
        <v>146</v>
      </c>
      <c r="M177" s="205"/>
      <c r="N177" s="216">
        <v>45791</v>
      </c>
      <c r="O177" s="216" t="s">
        <v>183</v>
      </c>
      <c r="P177" s="211">
        <v>2800</v>
      </c>
      <c r="Q177" s="210">
        <v>45792</v>
      </c>
      <c r="R177" s="205"/>
      <c r="S177" s="211"/>
      <c r="T177" s="211"/>
      <c r="U177" s="211"/>
      <c r="V177" s="215"/>
      <c r="W177" s="204"/>
      <c r="X177" s="106">
        <v>52</v>
      </c>
    </row>
    <row r="178" spans="1:24" s="106" customFormat="1" ht="108" x14ac:dyDescent="0.3">
      <c r="A178" s="209">
        <v>35</v>
      </c>
      <c r="B178" s="207" t="s">
        <v>56</v>
      </c>
      <c r="C178" s="207" t="s">
        <v>146</v>
      </c>
      <c r="D178" s="207" t="s">
        <v>147</v>
      </c>
      <c r="E178" s="207" t="s">
        <v>302</v>
      </c>
      <c r="F178" s="225">
        <v>45812</v>
      </c>
      <c r="G178" s="210" t="s">
        <v>191</v>
      </c>
      <c r="H178" s="211">
        <v>14500</v>
      </c>
      <c r="I178" s="212">
        <f>IF(X178 = 53, H178 + SUM(S178:S178) - SUM(T178:T178) - SUM(P178:P178) - V178,0)</f>
        <v>0</v>
      </c>
      <c r="J178" s="213">
        <v>235303483777</v>
      </c>
      <c r="K178" s="214" t="s">
        <v>210</v>
      </c>
      <c r="L178" s="207" t="s">
        <v>146</v>
      </c>
      <c r="M178" s="207"/>
      <c r="N178" s="225">
        <v>45812</v>
      </c>
      <c r="O178" s="216" t="s">
        <v>183</v>
      </c>
      <c r="P178" s="211">
        <v>14500</v>
      </c>
      <c r="Q178" s="210">
        <v>45818</v>
      </c>
      <c r="R178" s="207"/>
      <c r="S178" s="211"/>
      <c r="T178" s="211"/>
      <c r="U178" s="211"/>
      <c r="V178" s="215"/>
      <c r="W178" s="208"/>
      <c r="X178" s="106">
        <v>53</v>
      </c>
    </row>
    <row r="179" spans="1:24" s="106" customFormat="1" ht="108" x14ac:dyDescent="0.3">
      <c r="A179" s="209">
        <v>36</v>
      </c>
      <c r="B179" s="207" t="s">
        <v>56</v>
      </c>
      <c r="C179" s="207" t="s">
        <v>146</v>
      </c>
      <c r="D179" s="207" t="s">
        <v>147</v>
      </c>
      <c r="E179" s="207" t="s">
        <v>303</v>
      </c>
      <c r="F179" s="225">
        <v>45799</v>
      </c>
      <c r="G179" s="210" t="s">
        <v>191</v>
      </c>
      <c r="H179" s="211">
        <v>8800</v>
      </c>
      <c r="I179" s="212">
        <f>IF(X179 = 54, H179 + SUM(S179:S179) - SUM(T179:T179) - SUM(P179:P179) - V179,0)</f>
        <v>0</v>
      </c>
      <c r="J179" s="213">
        <v>235303483777</v>
      </c>
      <c r="K179" s="214" t="s">
        <v>210</v>
      </c>
      <c r="L179" s="207" t="s">
        <v>146</v>
      </c>
      <c r="M179" s="207"/>
      <c r="N179" s="225">
        <v>45799</v>
      </c>
      <c r="O179" s="216" t="s">
        <v>183</v>
      </c>
      <c r="P179" s="211">
        <v>8800</v>
      </c>
      <c r="Q179" s="210">
        <v>45806</v>
      </c>
      <c r="R179" s="207"/>
      <c r="S179" s="211"/>
      <c r="T179" s="211"/>
      <c r="U179" s="211"/>
      <c r="V179" s="215"/>
      <c r="W179" s="208"/>
      <c r="X179" s="106">
        <v>54</v>
      </c>
    </row>
    <row r="180" spans="1:24" s="106" customFormat="1" ht="108" x14ac:dyDescent="0.3">
      <c r="A180" s="266">
        <v>37</v>
      </c>
      <c r="B180" s="267" t="s">
        <v>56</v>
      </c>
      <c r="C180" s="267" t="s">
        <v>146</v>
      </c>
      <c r="D180" s="267" t="s">
        <v>147</v>
      </c>
      <c r="E180" s="267" t="s">
        <v>341</v>
      </c>
      <c r="F180" s="275">
        <v>45782</v>
      </c>
      <c r="G180" s="268" t="s">
        <v>342</v>
      </c>
      <c r="H180" s="269">
        <v>9000</v>
      </c>
      <c r="I180" s="270">
        <f>IF(X180 = 55, H180 + SUM(S180:S180) - SUM(T180:T180) - SUM(P180:P180) - V180,0)</f>
        <v>0</v>
      </c>
      <c r="J180" s="271">
        <v>2369980106</v>
      </c>
      <c r="K180" s="272" t="s">
        <v>353</v>
      </c>
      <c r="L180" s="267" t="s">
        <v>146</v>
      </c>
      <c r="M180" s="267"/>
      <c r="N180" s="275"/>
      <c r="O180" s="275" t="s">
        <v>183</v>
      </c>
      <c r="P180" s="269">
        <v>9000</v>
      </c>
      <c r="Q180" s="268">
        <v>45846</v>
      </c>
      <c r="R180" s="267"/>
      <c r="S180" s="269"/>
      <c r="T180" s="269"/>
      <c r="U180" s="269"/>
      <c r="V180" s="273"/>
      <c r="W180" s="274"/>
      <c r="X180" s="106">
        <v>55</v>
      </c>
    </row>
    <row r="181" spans="1:24" s="106" customFormat="1" ht="90" customHeight="1" x14ac:dyDescent="0.3">
      <c r="A181" s="640">
        <v>38</v>
      </c>
      <c r="B181" s="646" t="s">
        <v>56</v>
      </c>
      <c r="C181" s="646" t="s">
        <v>146</v>
      </c>
      <c r="D181" s="646" t="s">
        <v>147</v>
      </c>
      <c r="E181" s="646" t="s">
        <v>343</v>
      </c>
      <c r="F181" s="642">
        <v>45847</v>
      </c>
      <c r="G181" s="652" t="s">
        <v>344</v>
      </c>
      <c r="H181" s="644">
        <v>100000</v>
      </c>
      <c r="I181" s="654">
        <f>IF(X181 = 56, H181 + SUM(S181:S182) - SUM(T181:T182) - SUM(P181:P182) - V181,0)</f>
        <v>0</v>
      </c>
      <c r="J181" s="656">
        <v>235000239811</v>
      </c>
      <c r="K181" s="658" t="s">
        <v>238</v>
      </c>
      <c r="L181" s="646" t="s">
        <v>146</v>
      </c>
      <c r="M181" s="646"/>
      <c r="N181" s="311">
        <v>45847</v>
      </c>
      <c r="O181" s="642" t="s">
        <v>183</v>
      </c>
      <c r="P181" s="304">
        <v>4480</v>
      </c>
      <c r="Q181" s="305">
        <v>45848</v>
      </c>
      <c r="R181" s="306"/>
      <c r="S181" s="304"/>
      <c r="T181" s="304"/>
      <c r="U181" s="644"/>
      <c r="V181" s="648"/>
      <c r="W181" s="650"/>
      <c r="X181" s="106">
        <v>56</v>
      </c>
    </row>
    <row r="182" spans="1:24" s="2" customFormat="1" x14ac:dyDescent="0.3">
      <c r="A182" s="641"/>
      <c r="B182" s="647"/>
      <c r="C182" s="647"/>
      <c r="D182" s="647"/>
      <c r="E182" s="647"/>
      <c r="F182" s="643"/>
      <c r="G182" s="653"/>
      <c r="H182" s="645"/>
      <c r="I182" s="655"/>
      <c r="J182" s="657"/>
      <c r="K182" s="659"/>
      <c r="L182" s="647"/>
      <c r="M182" s="647"/>
      <c r="N182" s="312">
        <v>45847</v>
      </c>
      <c r="O182" s="643"/>
      <c r="P182" s="307">
        <v>95520</v>
      </c>
      <c r="Q182" s="308">
        <v>45848</v>
      </c>
      <c r="R182" s="309"/>
      <c r="S182" s="307"/>
      <c r="T182" s="307"/>
      <c r="U182" s="645"/>
      <c r="V182" s="649"/>
      <c r="W182" s="651"/>
      <c r="X182" s="2">
        <v>56</v>
      </c>
    </row>
    <row r="183" spans="1:24" s="106" customFormat="1" ht="108" x14ac:dyDescent="0.3">
      <c r="A183" s="313">
        <v>39</v>
      </c>
      <c r="B183" s="314" t="s">
        <v>56</v>
      </c>
      <c r="C183" s="314" t="s">
        <v>146</v>
      </c>
      <c r="D183" s="314" t="s">
        <v>147</v>
      </c>
      <c r="E183" s="314" t="s">
        <v>354</v>
      </c>
      <c r="F183" s="319">
        <v>45769</v>
      </c>
      <c r="G183" s="315" t="s">
        <v>355</v>
      </c>
      <c r="H183" s="316">
        <v>36745.5</v>
      </c>
      <c r="I183" s="317">
        <f>IF(X183 = 57, H183 + SUM(S183:S183) - SUM(T183:T183) - SUM(P183:P183) - V183,0)</f>
        <v>0</v>
      </c>
      <c r="J183" s="321">
        <v>7715995942</v>
      </c>
      <c r="K183" s="322" t="s">
        <v>221</v>
      </c>
      <c r="L183" s="314" t="s">
        <v>146</v>
      </c>
      <c r="M183" s="314"/>
      <c r="N183" s="319">
        <v>45864</v>
      </c>
      <c r="O183" s="319" t="s">
        <v>183</v>
      </c>
      <c r="P183" s="316">
        <v>36745.5</v>
      </c>
      <c r="Q183" s="315">
        <v>45883</v>
      </c>
      <c r="R183" s="314"/>
      <c r="S183" s="316"/>
      <c r="T183" s="316"/>
      <c r="U183" s="316"/>
      <c r="V183" s="318"/>
      <c r="W183" s="310"/>
      <c r="X183" s="106">
        <v>57</v>
      </c>
    </row>
    <row r="184" spans="1:24" s="106" customFormat="1" ht="108" x14ac:dyDescent="0.3">
      <c r="A184" s="323">
        <v>40</v>
      </c>
      <c r="B184" s="324" t="s">
        <v>56</v>
      </c>
      <c r="C184" s="324" t="s">
        <v>146</v>
      </c>
      <c r="D184" s="324" t="s">
        <v>147</v>
      </c>
      <c r="E184" s="324" t="s">
        <v>361</v>
      </c>
      <c r="F184" s="341">
        <v>45826</v>
      </c>
      <c r="G184" s="325" t="s">
        <v>355</v>
      </c>
      <c r="H184" s="326">
        <v>8498.6</v>
      </c>
      <c r="I184" s="327">
        <f>IF(X184 = 59, H184 + SUM(S184:S184) - SUM(T184:T184) - SUM(P184:P184) - V184,0)</f>
        <v>0</v>
      </c>
      <c r="J184" s="328">
        <v>7715995942</v>
      </c>
      <c r="K184" s="329" t="s">
        <v>221</v>
      </c>
      <c r="L184" s="324" t="s">
        <v>146</v>
      </c>
      <c r="M184" s="324"/>
      <c r="N184" s="341">
        <v>45882</v>
      </c>
      <c r="O184" s="341" t="s">
        <v>362</v>
      </c>
      <c r="P184" s="326">
        <v>8498.6</v>
      </c>
      <c r="Q184" s="325">
        <v>45896</v>
      </c>
      <c r="R184" s="324"/>
      <c r="S184" s="326"/>
      <c r="T184" s="326"/>
      <c r="U184" s="326"/>
      <c r="V184" s="330"/>
      <c r="W184" s="331"/>
      <c r="X184" s="106">
        <v>59</v>
      </c>
    </row>
    <row r="185" spans="1:24" s="106" customFormat="1" ht="108" x14ac:dyDescent="0.3">
      <c r="A185" s="332">
        <v>41</v>
      </c>
      <c r="B185" s="334" t="s">
        <v>56</v>
      </c>
      <c r="C185" s="334" t="s">
        <v>277</v>
      </c>
      <c r="D185" s="334" t="s">
        <v>147</v>
      </c>
      <c r="E185" s="334" t="s">
        <v>317</v>
      </c>
      <c r="F185" s="353">
        <v>45888</v>
      </c>
      <c r="G185" s="337" t="s">
        <v>371</v>
      </c>
      <c r="H185" s="333">
        <v>33000</v>
      </c>
      <c r="I185" s="338">
        <f>IF(X185 = 60, H185 + SUM(S185:S185) - SUM(T185:T185) - SUM(P185:P185) - V185,0)</f>
        <v>0</v>
      </c>
      <c r="J185" s="339">
        <v>2353016418</v>
      </c>
      <c r="K185" s="340" t="s">
        <v>372</v>
      </c>
      <c r="L185" s="334" t="s">
        <v>146</v>
      </c>
      <c r="M185" s="334"/>
      <c r="N185" s="353">
        <v>45895</v>
      </c>
      <c r="O185" s="353" t="s">
        <v>183</v>
      </c>
      <c r="P185" s="333">
        <v>33000</v>
      </c>
      <c r="Q185" s="337">
        <v>45896</v>
      </c>
      <c r="R185" s="334"/>
      <c r="S185" s="333"/>
      <c r="T185" s="333"/>
      <c r="U185" s="333"/>
      <c r="V185" s="335"/>
      <c r="W185" s="336"/>
      <c r="X185" s="106">
        <v>60</v>
      </c>
    </row>
    <row r="186" spans="1:24" s="106" customFormat="1" ht="108" x14ac:dyDescent="0.3">
      <c r="A186" s="332">
        <v>42</v>
      </c>
      <c r="B186" s="334" t="s">
        <v>56</v>
      </c>
      <c r="C186" s="334" t="s">
        <v>146</v>
      </c>
      <c r="D186" s="334" t="s">
        <v>147</v>
      </c>
      <c r="E186" s="334" t="s">
        <v>373</v>
      </c>
      <c r="F186" s="353">
        <v>45803</v>
      </c>
      <c r="G186" s="337" t="s">
        <v>191</v>
      </c>
      <c r="H186" s="333">
        <v>17680</v>
      </c>
      <c r="I186" s="338">
        <f>IF(X186 = 61, H186 + SUM(S186:S186) - SUM(T186:T186) - SUM(P186:P186) - V186,0)</f>
        <v>0</v>
      </c>
      <c r="J186" s="339">
        <v>235303483777</v>
      </c>
      <c r="K186" s="340" t="s">
        <v>210</v>
      </c>
      <c r="L186" s="334" t="s">
        <v>146</v>
      </c>
      <c r="M186" s="334"/>
      <c r="N186" s="353">
        <v>45895</v>
      </c>
      <c r="O186" s="353" t="s">
        <v>362</v>
      </c>
      <c r="P186" s="333">
        <v>17680</v>
      </c>
      <c r="Q186" s="337">
        <v>45902</v>
      </c>
      <c r="R186" s="334"/>
      <c r="S186" s="333"/>
      <c r="T186" s="333"/>
      <c r="U186" s="333"/>
      <c r="V186" s="335"/>
      <c r="W186" s="336"/>
      <c r="X186" s="106">
        <v>61</v>
      </c>
    </row>
    <row r="187" spans="1:24" s="106" customFormat="1" ht="36" x14ac:dyDescent="0.3">
      <c r="A187" s="344">
        <v>43</v>
      </c>
      <c r="B187" s="346" t="s">
        <v>56</v>
      </c>
      <c r="C187" s="346" t="s">
        <v>146</v>
      </c>
      <c r="D187" s="346" t="s">
        <v>147</v>
      </c>
      <c r="E187" s="346" t="s">
        <v>171</v>
      </c>
      <c r="F187" s="368">
        <v>45898</v>
      </c>
      <c r="G187" s="349" t="s">
        <v>374</v>
      </c>
      <c r="H187" s="345">
        <v>250000</v>
      </c>
      <c r="I187" s="350">
        <f>IF(X187 = 62, H187 + SUM(S187:S187) - SUM(T187:T187) - SUM(P187:P187) - V187,0)</f>
        <v>242761.98</v>
      </c>
      <c r="J187" s="351">
        <v>2308119595</v>
      </c>
      <c r="K187" s="352" t="s">
        <v>149</v>
      </c>
      <c r="L187" s="346" t="s">
        <v>146</v>
      </c>
      <c r="M187" s="346"/>
      <c r="N187" s="368">
        <v>45901</v>
      </c>
      <c r="O187" s="368" t="s">
        <v>168</v>
      </c>
      <c r="P187" s="345">
        <v>7238.02</v>
      </c>
      <c r="Q187" s="349">
        <v>45916</v>
      </c>
      <c r="R187" s="346"/>
      <c r="S187" s="345"/>
      <c r="T187" s="345"/>
      <c r="U187" s="345"/>
      <c r="V187" s="347"/>
      <c r="W187" s="348"/>
      <c r="X187" s="106">
        <v>62</v>
      </c>
    </row>
    <row r="188" spans="1:24" s="106" customFormat="1" ht="108" x14ac:dyDescent="0.3">
      <c r="A188" s="370">
        <v>44</v>
      </c>
      <c r="B188" s="371" t="s">
        <v>56</v>
      </c>
      <c r="C188" s="371" t="s">
        <v>146</v>
      </c>
      <c r="D188" s="371" t="s">
        <v>147</v>
      </c>
      <c r="E188" s="371" t="s">
        <v>375</v>
      </c>
      <c r="F188" s="376">
        <v>45901</v>
      </c>
      <c r="G188" s="372" t="s">
        <v>191</v>
      </c>
      <c r="H188" s="373">
        <v>16080</v>
      </c>
      <c r="I188" s="374">
        <f>IF(X188 = 63, H188 + SUM(S188:S188) - SUM(T188:T188) - SUM(P188:P188) - V188,0)</f>
        <v>0</v>
      </c>
      <c r="J188" s="351">
        <v>235303483777</v>
      </c>
      <c r="K188" s="352" t="s">
        <v>210</v>
      </c>
      <c r="L188" s="371" t="s">
        <v>146</v>
      </c>
      <c r="M188" s="371"/>
      <c r="N188" s="376">
        <v>45901</v>
      </c>
      <c r="O188" s="376" t="s">
        <v>183</v>
      </c>
      <c r="P188" s="373">
        <v>16080</v>
      </c>
      <c r="Q188" s="372">
        <v>45902</v>
      </c>
      <c r="R188" s="371"/>
      <c r="S188" s="373"/>
      <c r="T188" s="373"/>
      <c r="U188" s="373"/>
      <c r="V188" s="375"/>
      <c r="W188" s="367"/>
      <c r="X188" s="106">
        <v>63</v>
      </c>
    </row>
    <row r="189" spans="1:24" s="106" customFormat="1" ht="108" x14ac:dyDescent="0.3">
      <c r="A189" s="392">
        <v>45</v>
      </c>
      <c r="B189" s="388" t="s">
        <v>56</v>
      </c>
      <c r="C189" s="388" t="s">
        <v>146</v>
      </c>
      <c r="D189" s="346" t="s">
        <v>147</v>
      </c>
      <c r="E189" s="388" t="s">
        <v>380</v>
      </c>
      <c r="F189" s="397">
        <v>45909</v>
      </c>
      <c r="G189" s="393" t="s">
        <v>383</v>
      </c>
      <c r="H189" s="390">
        <v>4480</v>
      </c>
      <c r="I189" s="391">
        <f>IF(X189 = 64, H189 + SUM(S189:S189) - SUM(T189:T189) - SUM(P189:P189) - V189,0)</f>
        <v>0</v>
      </c>
      <c r="J189" s="394">
        <v>235000239811</v>
      </c>
      <c r="K189" s="395" t="s">
        <v>238</v>
      </c>
      <c r="L189" s="388" t="s">
        <v>146</v>
      </c>
      <c r="M189" s="388"/>
      <c r="N189" s="397">
        <v>45909</v>
      </c>
      <c r="O189" s="378" t="s">
        <v>183</v>
      </c>
      <c r="P189" s="390">
        <v>4480</v>
      </c>
      <c r="Q189" s="393">
        <v>45909</v>
      </c>
      <c r="R189" s="388"/>
      <c r="S189" s="390"/>
      <c r="T189" s="390"/>
      <c r="U189" s="390"/>
      <c r="V189" s="396"/>
      <c r="W189" s="389"/>
      <c r="X189" s="106">
        <v>64</v>
      </c>
    </row>
    <row r="190" spans="1:24" s="106" customFormat="1" ht="108" x14ac:dyDescent="0.3">
      <c r="A190" s="392">
        <v>46</v>
      </c>
      <c r="B190" s="388" t="s">
        <v>56</v>
      </c>
      <c r="C190" s="388" t="s">
        <v>146</v>
      </c>
      <c r="D190" s="371" t="s">
        <v>147</v>
      </c>
      <c r="E190" s="388" t="s">
        <v>381</v>
      </c>
      <c r="F190" s="397">
        <v>45909</v>
      </c>
      <c r="G190" s="393" t="s">
        <v>383</v>
      </c>
      <c r="H190" s="390">
        <v>4591.18</v>
      </c>
      <c r="I190" s="391">
        <f>IF(X190 = 65, H190 + SUM(S190:S190) - SUM(T190:T190) - SUM(P190:P190) - V190,0)</f>
        <v>0</v>
      </c>
      <c r="J190" s="394">
        <v>235000239811</v>
      </c>
      <c r="K190" s="395" t="s">
        <v>238</v>
      </c>
      <c r="L190" s="388" t="s">
        <v>146</v>
      </c>
      <c r="M190" s="388"/>
      <c r="N190" s="397">
        <v>45909</v>
      </c>
      <c r="O190" s="378" t="s">
        <v>183</v>
      </c>
      <c r="P190" s="390">
        <v>4591.18</v>
      </c>
      <c r="Q190" s="393">
        <v>45909</v>
      </c>
      <c r="R190" s="388"/>
      <c r="S190" s="390"/>
      <c r="T190" s="390"/>
      <c r="U190" s="390"/>
      <c r="V190" s="396"/>
      <c r="W190" s="389"/>
      <c r="X190" s="106">
        <v>65</v>
      </c>
    </row>
    <row r="191" spans="1:24" s="106" customFormat="1" ht="108" x14ac:dyDescent="0.3">
      <c r="A191" s="392">
        <v>47</v>
      </c>
      <c r="B191" s="388" t="s">
        <v>56</v>
      </c>
      <c r="C191" s="388" t="s">
        <v>146</v>
      </c>
      <c r="D191" s="346" t="s">
        <v>147</v>
      </c>
      <c r="E191" s="388" t="s">
        <v>382</v>
      </c>
      <c r="F191" s="397">
        <v>45909</v>
      </c>
      <c r="G191" s="393" t="s">
        <v>383</v>
      </c>
      <c r="H191" s="390">
        <v>5356.47</v>
      </c>
      <c r="I191" s="391">
        <f>IF(X191 = 66, H191 + SUM(S191:S191) - SUM(T191:T191) - SUM(P191:P191) - V191,0)</f>
        <v>0</v>
      </c>
      <c r="J191" s="394">
        <v>235000239811</v>
      </c>
      <c r="K191" s="395" t="s">
        <v>238</v>
      </c>
      <c r="L191" s="388" t="s">
        <v>146</v>
      </c>
      <c r="M191" s="388"/>
      <c r="N191" s="397">
        <v>45909</v>
      </c>
      <c r="O191" s="378" t="s">
        <v>183</v>
      </c>
      <c r="P191" s="390">
        <v>5356.47</v>
      </c>
      <c r="Q191" s="393">
        <v>45909</v>
      </c>
      <c r="R191" s="388"/>
      <c r="S191" s="390"/>
      <c r="T191" s="390"/>
      <c r="U191" s="390"/>
      <c r="V191" s="396"/>
      <c r="W191" s="389"/>
      <c r="X191" s="106">
        <v>66</v>
      </c>
    </row>
    <row r="192" spans="1:24" s="106" customFormat="1" ht="108" x14ac:dyDescent="0.3">
      <c r="A192" s="402">
        <v>48</v>
      </c>
      <c r="B192" s="398" t="s">
        <v>56</v>
      </c>
      <c r="C192" s="398" t="s">
        <v>146</v>
      </c>
      <c r="D192" s="398" t="s">
        <v>384</v>
      </c>
      <c r="E192" s="398" t="s">
        <v>385</v>
      </c>
      <c r="F192" s="403">
        <v>45901</v>
      </c>
      <c r="G192" s="393" t="s">
        <v>389</v>
      </c>
      <c r="H192" s="400">
        <v>406560</v>
      </c>
      <c r="I192" s="401">
        <f>IF(X192 = 67, H192 + SUM(S192:S192) - SUM(T192:T192) - SUM(P192:P192) - V192,0)</f>
        <v>406560</v>
      </c>
      <c r="J192" s="394">
        <v>2353020735</v>
      </c>
      <c r="K192" s="395" t="s">
        <v>156</v>
      </c>
      <c r="L192" s="398" t="s">
        <v>146</v>
      </c>
      <c r="M192" s="398"/>
      <c r="N192" s="403"/>
      <c r="O192" s="403" t="s">
        <v>183</v>
      </c>
      <c r="P192" s="400"/>
      <c r="Q192" s="393"/>
      <c r="R192" s="398"/>
      <c r="S192" s="400"/>
      <c r="T192" s="400"/>
      <c r="U192" s="400"/>
      <c r="V192" s="396"/>
      <c r="W192" s="399"/>
      <c r="X192" s="106">
        <v>67</v>
      </c>
    </row>
    <row r="193" spans="1:24" s="106" customFormat="1" ht="108" x14ac:dyDescent="0.3">
      <c r="A193" s="402">
        <v>49</v>
      </c>
      <c r="B193" s="398" t="s">
        <v>56</v>
      </c>
      <c r="C193" s="398" t="s">
        <v>146</v>
      </c>
      <c r="D193" s="346" t="s">
        <v>147</v>
      </c>
      <c r="E193" s="398" t="s">
        <v>386</v>
      </c>
      <c r="F193" s="403">
        <v>45901</v>
      </c>
      <c r="G193" s="393" t="s">
        <v>390</v>
      </c>
      <c r="H193" s="400">
        <v>49280</v>
      </c>
      <c r="I193" s="401">
        <f>IF(X193 = 68, H193 + SUM(S193:S193) - SUM(T193:T193) - SUM(P193:P193) - V193,0)</f>
        <v>49280</v>
      </c>
      <c r="J193" s="394">
        <v>2353020736</v>
      </c>
      <c r="K193" s="395" t="s">
        <v>156</v>
      </c>
      <c r="L193" s="398" t="s">
        <v>146</v>
      </c>
      <c r="M193" s="398"/>
      <c r="N193" s="403"/>
      <c r="O193" s="378" t="s">
        <v>183</v>
      </c>
      <c r="P193" s="400"/>
      <c r="Q193" s="393"/>
      <c r="R193" s="398"/>
      <c r="S193" s="400"/>
      <c r="T193" s="400"/>
      <c r="U193" s="400"/>
      <c r="V193" s="396"/>
      <c r="W193" s="399"/>
      <c r="X193" s="106">
        <v>68</v>
      </c>
    </row>
    <row r="194" spans="1:24" s="106" customFormat="1" ht="108" x14ac:dyDescent="0.3">
      <c r="A194" s="402">
        <v>50</v>
      </c>
      <c r="B194" s="398" t="s">
        <v>56</v>
      </c>
      <c r="C194" s="398" t="s">
        <v>146</v>
      </c>
      <c r="D194" s="398" t="s">
        <v>147</v>
      </c>
      <c r="E194" s="398" t="s">
        <v>387</v>
      </c>
      <c r="F194" s="403">
        <v>45901</v>
      </c>
      <c r="G194" s="393" t="s">
        <v>391</v>
      </c>
      <c r="H194" s="400">
        <v>144448</v>
      </c>
      <c r="I194" s="401">
        <f>IF(X194 = 69, H194 + SUM(S194:S194) - SUM(T194:T194) - SUM(P194:P194) - V194,0)</f>
        <v>144448</v>
      </c>
      <c r="J194" s="394">
        <v>2353020737</v>
      </c>
      <c r="K194" s="395" t="s">
        <v>156</v>
      </c>
      <c r="L194" s="398" t="s">
        <v>146</v>
      </c>
      <c r="M194" s="398"/>
      <c r="N194" s="403"/>
      <c r="O194" s="403" t="s">
        <v>183</v>
      </c>
      <c r="P194" s="400"/>
      <c r="Q194" s="393"/>
      <c r="R194" s="398"/>
      <c r="S194" s="400"/>
      <c r="T194" s="400"/>
      <c r="U194" s="400"/>
      <c r="V194" s="396"/>
      <c r="W194" s="399"/>
      <c r="X194" s="106">
        <v>69</v>
      </c>
    </row>
    <row r="195" spans="1:24" s="106" customFormat="1" ht="108" x14ac:dyDescent="0.3">
      <c r="A195" s="402">
        <v>51</v>
      </c>
      <c r="B195" s="398" t="s">
        <v>56</v>
      </c>
      <c r="C195" s="398" t="s">
        <v>146</v>
      </c>
      <c r="D195" s="398" t="s">
        <v>147</v>
      </c>
      <c r="E195" s="398" t="s">
        <v>388</v>
      </c>
      <c r="F195" s="403">
        <v>45901</v>
      </c>
      <c r="G195" s="393" t="s">
        <v>392</v>
      </c>
      <c r="H195" s="400">
        <v>42000</v>
      </c>
      <c r="I195" s="401">
        <f>IF(X195 = 70, H195 + SUM(S195:S195) - SUM(T195:T195) - SUM(P195:P195) - V195,0)</f>
        <v>42000</v>
      </c>
      <c r="J195" s="394">
        <v>2353020738</v>
      </c>
      <c r="K195" s="395" t="s">
        <v>156</v>
      </c>
      <c r="L195" s="398" t="s">
        <v>146</v>
      </c>
      <c r="M195" s="398"/>
      <c r="N195" s="403"/>
      <c r="O195" s="378" t="s">
        <v>183</v>
      </c>
      <c r="P195" s="400"/>
      <c r="Q195" s="393"/>
      <c r="R195" s="398"/>
      <c r="S195" s="400"/>
      <c r="T195" s="400"/>
      <c r="U195" s="400"/>
      <c r="V195" s="396"/>
      <c r="W195" s="399"/>
      <c r="X195" s="106">
        <v>70</v>
      </c>
    </row>
    <row r="196" spans="1:24" s="106" customFormat="1" ht="108" x14ac:dyDescent="0.3">
      <c r="A196" s="404">
        <v>52</v>
      </c>
      <c r="B196" s="406" t="s">
        <v>56</v>
      </c>
      <c r="C196" s="406" t="s">
        <v>146</v>
      </c>
      <c r="D196" s="406" t="s">
        <v>147</v>
      </c>
      <c r="E196" s="406" t="s">
        <v>122</v>
      </c>
      <c r="F196" s="409">
        <v>45925</v>
      </c>
      <c r="G196" s="393" t="s">
        <v>395</v>
      </c>
      <c r="H196" s="405">
        <v>8000</v>
      </c>
      <c r="I196" s="408">
        <f>IF(X196 = 71, H196 + SUM(S196:S196) - SUM(T196:T196) - SUM(P196:P196) - V196,0)</f>
        <v>8000</v>
      </c>
      <c r="J196" s="394">
        <v>235306110100</v>
      </c>
      <c r="K196" s="395" t="s">
        <v>257</v>
      </c>
      <c r="L196" s="406" t="s">
        <v>146</v>
      </c>
      <c r="M196" s="406"/>
      <c r="N196" s="409"/>
      <c r="O196" s="409" t="s">
        <v>183</v>
      </c>
      <c r="P196" s="405"/>
      <c r="Q196" s="393"/>
      <c r="R196" s="406"/>
      <c r="S196" s="405"/>
      <c r="T196" s="405"/>
      <c r="U196" s="405"/>
      <c r="V196" s="396"/>
      <c r="W196" s="407"/>
      <c r="X196" s="106">
        <v>71</v>
      </c>
    </row>
    <row r="197" spans="1:24" x14ac:dyDescent="0.3">
      <c r="B197" s="107"/>
      <c r="X197" s="8">
        <v>72</v>
      </c>
    </row>
    <row r="198" spans="1:24" x14ac:dyDescent="0.3">
      <c r="B198" s="107"/>
    </row>
    <row r="199" spans="1:24" x14ac:dyDescent="0.3">
      <c r="B199" s="107"/>
    </row>
    <row r="200" spans="1:24" x14ac:dyDescent="0.3">
      <c r="B200" s="107"/>
      <c r="E200" s="45"/>
    </row>
  </sheetData>
  <sheetProtection password="EB34" sheet="1" objects="1" scenarios="1" formatCells="0" formatColumns="0" formatRows="0"/>
  <mergeCells count="394">
    <mergeCell ref="H12:H20"/>
    <mergeCell ref="I12:I20"/>
    <mergeCell ref="J12:J20"/>
    <mergeCell ref="K12:K20"/>
    <mergeCell ref="L12:L20"/>
    <mergeCell ref="M12:M20"/>
    <mergeCell ref="O90:O113"/>
    <mergeCell ref="K114:K121"/>
    <mergeCell ref="L114:L121"/>
    <mergeCell ref="U90:U113"/>
    <mergeCell ref="V90:V113"/>
    <mergeCell ref="W90:W113"/>
    <mergeCell ref="D90:D113"/>
    <mergeCell ref="E90:E113"/>
    <mergeCell ref="F90:F113"/>
    <mergeCell ref="G90:G113"/>
    <mergeCell ref="H90:H113"/>
    <mergeCell ref="I90:I113"/>
    <mergeCell ref="J90:J113"/>
    <mergeCell ref="K90:K113"/>
    <mergeCell ref="L90:L113"/>
    <mergeCell ref="A122:A129"/>
    <mergeCell ref="O122:O129"/>
    <mergeCell ref="U122:U129"/>
    <mergeCell ref="B122:B129"/>
    <mergeCell ref="V122:V129"/>
    <mergeCell ref="C122:C129"/>
    <mergeCell ref="W122:W129"/>
    <mergeCell ref="D122:D129"/>
    <mergeCell ref="E122:E129"/>
    <mergeCell ref="F122:F129"/>
    <mergeCell ref="G122:G129"/>
    <mergeCell ref="H122:H129"/>
    <mergeCell ref="I122:I129"/>
    <mergeCell ref="J122:J129"/>
    <mergeCell ref="K122:K129"/>
    <mergeCell ref="L122:L129"/>
    <mergeCell ref="M122:M129"/>
    <mergeCell ref="V64:V71"/>
    <mergeCell ref="C64:C71"/>
    <mergeCell ref="W64:W71"/>
    <mergeCell ref="D64:D71"/>
    <mergeCell ref="E64:E71"/>
    <mergeCell ref="F64:F71"/>
    <mergeCell ref="G64:G71"/>
    <mergeCell ref="H64:H71"/>
    <mergeCell ref="I64:I71"/>
    <mergeCell ref="J64:J71"/>
    <mergeCell ref="K64:K71"/>
    <mergeCell ref="L64:L71"/>
    <mergeCell ref="M64:M71"/>
    <mergeCell ref="W54:W61"/>
    <mergeCell ref="D54:D61"/>
    <mergeCell ref="E54:E61"/>
    <mergeCell ref="F54:F61"/>
    <mergeCell ref="G54:G61"/>
    <mergeCell ref="H54:H61"/>
    <mergeCell ref="I54:I61"/>
    <mergeCell ref="J54:J61"/>
    <mergeCell ref="K54:K61"/>
    <mergeCell ref="L54:L61"/>
    <mergeCell ref="M54:M61"/>
    <mergeCell ref="W158:W159"/>
    <mergeCell ref="D158:D159"/>
    <mergeCell ref="E158:E159"/>
    <mergeCell ref="F158:F159"/>
    <mergeCell ref="G158:G159"/>
    <mergeCell ref="H158:H159"/>
    <mergeCell ref="I158:I159"/>
    <mergeCell ref="J158:J159"/>
    <mergeCell ref="K158:K159"/>
    <mergeCell ref="L158:L159"/>
    <mergeCell ref="M158:M159"/>
    <mergeCell ref="W156:W157"/>
    <mergeCell ref="D156:D157"/>
    <mergeCell ref="E156:E157"/>
    <mergeCell ref="F156:F157"/>
    <mergeCell ref="G156:G157"/>
    <mergeCell ref="H156:H157"/>
    <mergeCell ref="I156:I157"/>
    <mergeCell ref="J156:J157"/>
    <mergeCell ref="K156:K157"/>
    <mergeCell ref="L156:L157"/>
    <mergeCell ref="M156:M157"/>
    <mergeCell ref="A170:A173"/>
    <mergeCell ref="O170:O173"/>
    <mergeCell ref="U170:U173"/>
    <mergeCell ref="B170:B173"/>
    <mergeCell ref="V170:V173"/>
    <mergeCell ref="C170:C173"/>
    <mergeCell ref="W170:W173"/>
    <mergeCell ref="D170:D173"/>
    <mergeCell ref="E170:E173"/>
    <mergeCell ref="F170:F173"/>
    <mergeCell ref="G170:G173"/>
    <mergeCell ref="H170:H173"/>
    <mergeCell ref="I170:I173"/>
    <mergeCell ref="J170:J173"/>
    <mergeCell ref="K170:K173"/>
    <mergeCell ref="L170:L173"/>
    <mergeCell ref="M170:M173"/>
    <mergeCell ref="W160:W169"/>
    <mergeCell ref="D160:D169"/>
    <mergeCell ref="E160:E169"/>
    <mergeCell ref="F160:F169"/>
    <mergeCell ref="G160:G169"/>
    <mergeCell ref="H160:H169"/>
    <mergeCell ref="I160:I169"/>
    <mergeCell ref="J160:J169"/>
    <mergeCell ref="K160:K169"/>
    <mergeCell ref="L160:L169"/>
    <mergeCell ref="M160:M169"/>
    <mergeCell ref="O160:O169"/>
    <mergeCell ref="U160:U169"/>
    <mergeCell ref="B160:B169"/>
    <mergeCell ref="V160:V169"/>
    <mergeCell ref="C160:C169"/>
    <mergeCell ref="A156:A157"/>
    <mergeCell ref="O156:O157"/>
    <mergeCell ref="U156:U157"/>
    <mergeCell ref="B156:B157"/>
    <mergeCell ref="V156:V157"/>
    <mergeCell ref="C156:C157"/>
    <mergeCell ref="O158:O159"/>
    <mergeCell ref="U158:U159"/>
    <mergeCell ref="B158:B159"/>
    <mergeCell ref="V158:V159"/>
    <mergeCell ref="C158:C159"/>
    <mergeCell ref="A160:A169"/>
    <mergeCell ref="A158:A159"/>
    <mergeCell ref="M133:M138"/>
    <mergeCell ref="D133:D138"/>
    <mergeCell ref="E133:E138"/>
    <mergeCell ref="F133:F138"/>
    <mergeCell ref="L133:L138"/>
    <mergeCell ref="V133:V138"/>
    <mergeCell ref="H130:H132"/>
    <mergeCell ref="I130:I132"/>
    <mergeCell ref="J130:J132"/>
    <mergeCell ref="K130:K132"/>
    <mergeCell ref="L130:L132"/>
    <mergeCell ref="M130:M132"/>
    <mergeCell ref="G133:G138"/>
    <mergeCell ref="W133:W138"/>
    <mergeCell ref="A133:A138"/>
    <mergeCell ref="O133:O138"/>
    <mergeCell ref="U133:U138"/>
    <mergeCell ref="B133:B138"/>
    <mergeCell ref="C133:C138"/>
    <mergeCell ref="A130:A132"/>
    <mergeCell ref="O130:O132"/>
    <mergeCell ref="A87:A89"/>
    <mergeCell ref="O87:O89"/>
    <mergeCell ref="C87:C89"/>
    <mergeCell ref="U130:U132"/>
    <mergeCell ref="B130:B132"/>
    <mergeCell ref="H133:H138"/>
    <mergeCell ref="I133:I138"/>
    <mergeCell ref="J133:J138"/>
    <mergeCell ref="K133:K138"/>
    <mergeCell ref="V130:V132"/>
    <mergeCell ref="C130:C132"/>
    <mergeCell ref="W130:W132"/>
    <mergeCell ref="D130:D132"/>
    <mergeCell ref="E130:E132"/>
    <mergeCell ref="F130:F132"/>
    <mergeCell ref="G130:G132"/>
    <mergeCell ref="W62:W63"/>
    <mergeCell ref="V72:V86"/>
    <mergeCell ref="W87:W89"/>
    <mergeCell ref="D87:D89"/>
    <mergeCell ref="E87:E89"/>
    <mergeCell ref="F87:F89"/>
    <mergeCell ref="G87:G89"/>
    <mergeCell ref="H87:H89"/>
    <mergeCell ref="I87:I89"/>
    <mergeCell ref="J87:J89"/>
    <mergeCell ref="K87:K89"/>
    <mergeCell ref="L87:L89"/>
    <mergeCell ref="M87:M89"/>
    <mergeCell ref="V87:V89"/>
    <mergeCell ref="W72:W86"/>
    <mergeCell ref="D72:D86"/>
    <mergeCell ref="E72:E86"/>
    <mergeCell ref="F72:F86"/>
    <mergeCell ref="G72:G86"/>
    <mergeCell ref="O72:O86"/>
    <mergeCell ref="U72:U86"/>
    <mergeCell ref="H72:H86"/>
    <mergeCell ref="I72:I86"/>
    <mergeCell ref="J72:J86"/>
    <mergeCell ref="A9:A11"/>
    <mergeCell ref="O9:O11"/>
    <mergeCell ref="U9:U11"/>
    <mergeCell ref="B9:B11"/>
    <mergeCell ref="V9:V11"/>
    <mergeCell ref="C9:C11"/>
    <mergeCell ref="W9:W11"/>
    <mergeCell ref="D9:D11"/>
    <mergeCell ref="E9:E11"/>
    <mergeCell ref="F9:F11"/>
    <mergeCell ref="G9:G11"/>
    <mergeCell ref="H9:H11"/>
    <mergeCell ref="I9:I11"/>
    <mergeCell ref="J9:J11"/>
    <mergeCell ref="K9:K11"/>
    <mergeCell ref="L9:L11"/>
    <mergeCell ref="M9:M11"/>
    <mergeCell ref="W139:W140"/>
    <mergeCell ref="D139:D140"/>
    <mergeCell ref="E139:E140"/>
    <mergeCell ref="F139:F140"/>
    <mergeCell ref="G139:G140"/>
    <mergeCell ref="H139:H140"/>
    <mergeCell ref="I139:I140"/>
    <mergeCell ref="J139:J140"/>
    <mergeCell ref="K139:K140"/>
    <mergeCell ref="L139:L140"/>
    <mergeCell ref="M139:M140"/>
    <mergeCell ref="S2:U2"/>
    <mergeCell ref="F2:G2"/>
    <mergeCell ref="N2:O2"/>
    <mergeCell ref="U49:U53"/>
    <mergeCell ref="B49:B53"/>
    <mergeCell ref="C49:C53"/>
    <mergeCell ref="D49:D53"/>
    <mergeCell ref="E49:E53"/>
    <mergeCell ref="F49:F53"/>
    <mergeCell ref="G49:G53"/>
    <mergeCell ref="H49:H53"/>
    <mergeCell ref="I49:I53"/>
    <mergeCell ref="J49:J53"/>
    <mergeCell ref="K49:K53"/>
    <mergeCell ref="L49:L53"/>
    <mergeCell ref="M49:M53"/>
    <mergeCell ref="O49:O53"/>
    <mergeCell ref="O41:O48"/>
    <mergeCell ref="U41:U48"/>
    <mergeCell ref="B41:B48"/>
    <mergeCell ref="C41:C48"/>
    <mergeCell ref="D41:D48"/>
    <mergeCell ref="E41:E48"/>
    <mergeCell ref="F41:F48"/>
    <mergeCell ref="W49:W53"/>
    <mergeCell ref="A143:A144"/>
    <mergeCell ref="O143:O144"/>
    <mergeCell ref="U143:U144"/>
    <mergeCell ref="B143:B144"/>
    <mergeCell ref="V143:V144"/>
    <mergeCell ref="C143:C144"/>
    <mergeCell ref="W143:W144"/>
    <mergeCell ref="D143:D144"/>
    <mergeCell ref="E143:E144"/>
    <mergeCell ref="F143:F144"/>
    <mergeCell ref="G143:G144"/>
    <mergeCell ref="H143:H144"/>
    <mergeCell ref="I143:I144"/>
    <mergeCell ref="J143:J144"/>
    <mergeCell ref="K143:K144"/>
    <mergeCell ref="L143:L144"/>
    <mergeCell ref="M143:M144"/>
    <mergeCell ref="A139:A140"/>
    <mergeCell ref="O139:O140"/>
    <mergeCell ref="U139:U140"/>
    <mergeCell ref="B139:B140"/>
    <mergeCell ref="V139:V140"/>
    <mergeCell ref="C139:C140"/>
    <mergeCell ref="V49:V53"/>
    <mergeCell ref="A62:A63"/>
    <mergeCell ref="O62:O63"/>
    <mergeCell ref="U62:U63"/>
    <mergeCell ref="B62:B63"/>
    <mergeCell ref="V62:V63"/>
    <mergeCell ref="C62:C63"/>
    <mergeCell ref="D62:D63"/>
    <mergeCell ref="E62:E63"/>
    <mergeCell ref="F62:F63"/>
    <mergeCell ref="G62:G63"/>
    <mergeCell ref="A49:A53"/>
    <mergeCell ref="H62:H63"/>
    <mergeCell ref="I62:I63"/>
    <mergeCell ref="J62:J63"/>
    <mergeCell ref="K62:K63"/>
    <mergeCell ref="L62:L63"/>
    <mergeCell ref="M62:M63"/>
    <mergeCell ref="A54:A61"/>
    <mergeCell ref="V54:V61"/>
    <mergeCell ref="C54:C61"/>
    <mergeCell ref="A181:A182"/>
    <mergeCell ref="O181:O182"/>
    <mergeCell ref="U181:U182"/>
    <mergeCell ref="B181:B182"/>
    <mergeCell ref="V181:V182"/>
    <mergeCell ref="C181:C182"/>
    <mergeCell ref="W181:W182"/>
    <mergeCell ref="D181:D182"/>
    <mergeCell ref="E181:E182"/>
    <mergeCell ref="F181:F182"/>
    <mergeCell ref="G181:G182"/>
    <mergeCell ref="H181:H182"/>
    <mergeCell ref="I181:I182"/>
    <mergeCell ref="J181:J182"/>
    <mergeCell ref="K181:K182"/>
    <mergeCell ref="L181:L182"/>
    <mergeCell ref="M181:M182"/>
    <mergeCell ref="A12:A20"/>
    <mergeCell ref="O12:O20"/>
    <mergeCell ref="U12:U20"/>
    <mergeCell ref="B12:B20"/>
    <mergeCell ref="V12:V20"/>
    <mergeCell ref="C12:C20"/>
    <mergeCell ref="W12:W20"/>
    <mergeCell ref="V41:V48"/>
    <mergeCell ref="W41:W48"/>
    <mergeCell ref="G41:G48"/>
    <mergeCell ref="H41:H48"/>
    <mergeCell ref="I41:I48"/>
    <mergeCell ref="J41:J48"/>
    <mergeCell ref="K41:K48"/>
    <mergeCell ref="L41:L48"/>
    <mergeCell ref="M41:M48"/>
    <mergeCell ref="D12:D20"/>
    <mergeCell ref="E12:E20"/>
    <mergeCell ref="J21:J40"/>
    <mergeCell ref="K21:K40"/>
    <mergeCell ref="L21:L40"/>
    <mergeCell ref="M21:M40"/>
    <mergeCell ref="F12:F20"/>
    <mergeCell ref="G12:G20"/>
    <mergeCell ref="C72:C86"/>
    <mergeCell ref="A72:A86"/>
    <mergeCell ref="B72:B86"/>
    <mergeCell ref="K72:K86"/>
    <mergeCell ref="L72:L86"/>
    <mergeCell ref="M72:M86"/>
    <mergeCell ref="U87:U89"/>
    <mergeCell ref="B87:B89"/>
    <mergeCell ref="A114:A121"/>
    <mergeCell ref="O114:O121"/>
    <mergeCell ref="U114:U121"/>
    <mergeCell ref="B114:B121"/>
    <mergeCell ref="A90:A113"/>
    <mergeCell ref="B90:B113"/>
    <mergeCell ref="C90:C113"/>
    <mergeCell ref="M90:M113"/>
    <mergeCell ref="M114:M121"/>
    <mergeCell ref="D114:D121"/>
    <mergeCell ref="E114:E121"/>
    <mergeCell ref="F114:F121"/>
    <mergeCell ref="G114:G121"/>
    <mergeCell ref="H114:H121"/>
    <mergeCell ref="I114:I121"/>
    <mergeCell ref="J114:J121"/>
    <mergeCell ref="V114:V121"/>
    <mergeCell ref="C114:C121"/>
    <mergeCell ref="W114:W121"/>
    <mergeCell ref="A21:A40"/>
    <mergeCell ref="O21:O40"/>
    <mergeCell ref="U21:U40"/>
    <mergeCell ref="B21:B40"/>
    <mergeCell ref="A41:A48"/>
    <mergeCell ref="O54:O61"/>
    <mergeCell ref="U54:U61"/>
    <mergeCell ref="B54:B61"/>
    <mergeCell ref="A64:A71"/>
    <mergeCell ref="O64:O71"/>
    <mergeCell ref="U64:U71"/>
    <mergeCell ref="B64:B71"/>
    <mergeCell ref="V21:V40"/>
    <mergeCell ref="C21:C40"/>
    <mergeCell ref="W21:W40"/>
    <mergeCell ref="D21:D40"/>
    <mergeCell ref="E21:E40"/>
    <mergeCell ref="F21:F40"/>
    <mergeCell ref="G21:G40"/>
    <mergeCell ref="H21:H40"/>
    <mergeCell ref="I21:I40"/>
    <mergeCell ref="A150:A154"/>
    <mergeCell ref="O150:O154"/>
    <mergeCell ref="U150:U154"/>
    <mergeCell ref="B150:B154"/>
    <mergeCell ref="V150:V154"/>
    <mergeCell ref="C150:C154"/>
    <mergeCell ref="W150:W154"/>
    <mergeCell ref="D150:D154"/>
    <mergeCell ref="E150:E154"/>
    <mergeCell ref="F150:F154"/>
    <mergeCell ref="G150:G154"/>
    <mergeCell ref="H150:H154"/>
    <mergeCell ref="I150:I154"/>
    <mergeCell ref="J150:J154"/>
    <mergeCell ref="K150:K154"/>
    <mergeCell ref="L150:L154"/>
    <mergeCell ref="M150:M15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5"/>
  <sheetViews>
    <sheetView showGridLines="0" topLeftCell="I1" zoomScale="70" zoomScaleNormal="70" workbookViewId="0">
      <pane ySplit="8" topLeftCell="A12" activePane="bottomLeft" state="frozen"/>
      <selection pane="bottomLeft" activeCell="P13" sqref="P13"/>
    </sheetView>
  </sheetViews>
  <sheetFormatPr defaultColWidth="0" defaultRowHeight="18" x14ac:dyDescent="0.3"/>
  <cols>
    <col min="1" max="1" width="14" style="3" customWidth="1"/>
    <col min="2" max="2" width="25.44140625" style="3" customWidth="1"/>
    <col min="3" max="3" width="39.5546875" style="3" bestFit="1" customWidth="1"/>
    <col min="4" max="4" width="23.88671875" style="3" customWidth="1"/>
    <col min="5" max="5" width="32.44140625" style="3" customWidth="1"/>
    <col min="6" max="6" width="27.44140625" style="12" customWidth="1"/>
    <col min="7" max="7" width="27.44140625" style="3" customWidth="1"/>
    <col min="8" max="8" width="33" style="3" customWidth="1"/>
    <col min="9" max="10" width="27.33203125" style="11" customWidth="1"/>
    <col min="11" max="11" width="26.5546875" style="3" customWidth="1"/>
    <col min="12" max="12" width="38.44140625" style="12" customWidth="1"/>
    <col min="13" max="13" width="37.5546875" style="3" customWidth="1"/>
    <col min="14" max="14" width="24.6640625" style="11" customWidth="1"/>
    <col min="15" max="15" width="24.44140625" style="12" customWidth="1"/>
    <col min="16" max="16" width="24.33203125" style="12" customWidth="1"/>
    <col min="17" max="17" width="27.44140625" style="12" customWidth="1"/>
    <col min="18" max="18" width="27.109375" style="12" customWidth="1"/>
    <col min="19" max="19" width="23.44140625" style="12" customWidth="1"/>
    <col min="20" max="20" width="22.88671875" style="11" customWidth="1"/>
    <col min="21" max="21" width="21.88671875" style="8" customWidth="1"/>
    <col min="22" max="16384" width="9.109375" style="8" hidden="1"/>
  </cols>
  <sheetData>
    <row r="1" spans="1:22" ht="18.600000000000001" thickBot="1" x14ac:dyDescent="0.35"/>
    <row r="2" spans="1:22" ht="39.9" customHeight="1" thickBot="1" x14ac:dyDescent="0.35">
      <c r="B2" s="86"/>
      <c r="C2" s="86"/>
      <c r="D2" s="86"/>
      <c r="E2" s="704" t="s">
        <v>24</v>
      </c>
      <c r="F2" s="705"/>
      <c r="G2" s="98">
        <f>SUM(G9:G9999)</f>
        <v>2340353.5699999998</v>
      </c>
      <c r="L2" s="794" t="s">
        <v>137</v>
      </c>
      <c r="M2" s="795"/>
      <c r="N2" s="87">
        <f>SUM(N9:N9999)</f>
        <v>1769507.42</v>
      </c>
      <c r="P2" s="86"/>
      <c r="Q2" s="546" t="s">
        <v>45</v>
      </c>
      <c r="R2" s="547"/>
      <c r="S2" s="548"/>
      <c r="T2" s="88">
        <f>SUM(T9:T9999)</f>
        <v>0</v>
      </c>
    </row>
    <row r="3" spans="1:22" x14ac:dyDescent="0.3">
      <c r="E3" s="38"/>
      <c r="F3" s="38"/>
      <c r="G3" s="38"/>
      <c r="H3" s="38"/>
      <c r="I3" s="43"/>
      <c r="J3" s="44"/>
      <c r="K3" s="41"/>
      <c r="L3" s="38"/>
      <c r="M3" s="38"/>
      <c r="N3" s="43"/>
      <c r="O3" s="42"/>
      <c r="P3" s="38"/>
      <c r="Q3" s="38"/>
      <c r="R3" s="38"/>
      <c r="S3" s="38"/>
      <c r="T3" s="43"/>
    </row>
    <row r="4" spans="1:22" ht="39.9" customHeight="1" x14ac:dyDescent="0.3">
      <c r="E4" s="38"/>
      <c r="F4" s="38"/>
      <c r="G4" s="38"/>
      <c r="H4" s="38"/>
      <c r="I4" s="43"/>
      <c r="J4" s="44"/>
      <c r="K4" s="41"/>
      <c r="L4" s="38"/>
      <c r="M4" s="38"/>
      <c r="N4" s="43"/>
      <c r="O4" s="42"/>
      <c r="P4" s="38"/>
      <c r="Q4" s="38"/>
      <c r="R4" s="38"/>
      <c r="S4" s="38"/>
      <c r="T4" s="43"/>
    </row>
    <row r="6" spans="1:22" ht="144" x14ac:dyDescent="0.3">
      <c r="A6" s="28" t="s">
        <v>8</v>
      </c>
      <c r="B6" s="28" t="s">
        <v>21</v>
      </c>
      <c r="C6" s="28" t="s">
        <v>10</v>
      </c>
      <c r="D6" s="28" t="s">
        <v>15</v>
      </c>
      <c r="E6" s="28" t="s">
        <v>0</v>
      </c>
      <c r="F6" s="27" t="s">
        <v>3</v>
      </c>
      <c r="G6" s="28" t="s">
        <v>38</v>
      </c>
      <c r="H6" s="28" t="s">
        <v>22</v>
      </c>
      <c r="I6" s="89" t="s">
        <v>46</v>
      </c>
      <c r="J6" s="89" t="s">
        <v>5</v>
      </c>
      <c r="K6" s="28" t="s">
        <v>39</v>
      </c>
      <c r="L6" s="27" t="s">
        <v>37</v>
      </c>
      <c r="M6" s="28" t="s">
        <v>6</v>
      </c>
      <c r="N6" s="89" t="s">
        <v>23</v>
      </c>
      <c r="O6" s="27" t="s">
        <v>9</v>
      </c>
      <c r="P6" s="27" t="s">
        <v>40</v>
      </c>
      <c r="Q6" s="27" t="s">
        <v>103</v>
      </c>
      <c r="R6" s="27" t="s">
        <v>104</v>
      </c>
      <c r="S6" s="27" t="s">
        <v>41</v>
      </c>
      <c r="T6" s="89" t="s">
        <v>43</v>
      </c>
      <c r="U6" s="17" t="s">
        <v>42</v>
      </c>
    </row>
    <row r="7" spans="1:22" ht="16.8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</row>
    <row r="8" spans="1:22" s="18" customFormat="1" ht="108" hidden="1" x14ac:dyDescent="0.3">
      <c r="A8" s="90" t="s">
        <v>36</v>
      </c>
      <c r="B8" s="90" t="s">
        <v>67</v>
      </c>
      <c r="C8" s="90" t="s">
        <v>66</v>
      </c>
      <c r="D8" s="90" t="s">
        <v>48</v>
      </c>
      <c r="E8" s="95">
        <v>43823</v>
      </c>
      <c r="F8" s="91" t="s">
        <v>65</v>
      </c>
      <c r="G8" s="92">
        <v>100000</v>
      </c>
      <c r="H8" s="92">
        <v>90000</v>
      </c>
      <c r="I8" s="96">
        <v>2308091759</v>
      </c>
      <c r="J8" s="90" t="s">
        <v>68</v>
      </c>
      <c r="K8" s="90" t="s">
        <v>69</v>
      </c>
      <c r="L8" s="91">
        <v>43801</v>
      </c>
      <c r="M8" s="90" t="s">
        <v>70</v>
      </c>
      <c r="N8" s="92">
        <v>10000</v>
      </c>
      <c r="O8" s="91">
        <v>43489</v>
      </c>
      <c r="P8" s="91"/>
      <c r="Q8" s="91"/>
      <c r="R8" s="91"/>
      <c r="S8" s="91"/>
      <c r="T8" s="92"/>
      <c r="U8" s="93" t="s">
        <v>64</v>
      </c>
    </row>
    <row r="9" spans="1:22" s="106" customFormat="1" ht="37.5" customHeight="1" x14ac:dyDescent="0.3">
      <c r="A9" s="791">
        <v>1</v>
      </c>
      <c r="B9" s="773"/>
      <c r="C9" s="773" t="s">
        <v>170</v>
      </c>
      <c r="D9" s="773" t="s">
        <v>152</v>
      </c>
      <c r="E9" s="776">
        <v>45654</v>
      </c>
      <c r="F9" s="779" t="s">
        <v>153</v>
      </c>
      <c r="G9" s="782">
        <v>1380000</v>
      </c>
      <c r="H9" s="785">
        <f>IF(V9 = 1, G9 + SUM(Q9:Q12) - SUM(R9:R12) - SUM(N9:N12) - T9,0)</f>
        <v>570846.15000000014</v>
      </c>
      <c r="I9" s="788">
        <v>2312054894</v>
      </c>
      <c r="J9" s="773" t="s">
        <v>154</v>
      </c>
      <c r="K9" s="773" t="s">
        <v>155</v>
      </c>
      <c r="L9" s="263">
        <v>45688</v>
      </c>
      <c r="M9" s="773" t="s">
        <v>151</v>
      </c>
      <c r="N9" s="257">
        <v>250889.21</v>
      </c>
      <c r="O9" s="263">
        <v>45706</v>
      </c>
      <c r="P9" s="258"/>
      <c r="Q9" s="257"/>
      <c r="R9" s="257"/>
      <c r="S9" s="779"/>
      <c r="T9" s="782"/>
      <c r="U9" s="770"/>
      <c r="V9" s="106">
        <v>1</v>
      </c>
    </row>
    <row r="10" spans="1:22" s="2" customFormat="1" x14ac:dyDescent="0.3">
      <c r="A10" s="792"/>
      <c r="B10" s="774"/>
      <c r="C10" s="774"/>
      <c r="D10" s="774"/>
      <c r="E10" s="777"/>
      <c r="F10" s="780"/>
      <c r="G10" s="783"/>
      <c r="H10" s="786"/>
      <c r="I10" s="789"/>
      <c r="J10" s="774"/>
      <c r="K10" s="774"/>
      <c r="L10" s="264">
        <v>45716</v>
      </c>
      <c r="M10" s="774"/>
      <c r="N10" s="259">
        <v>299048.48</v>
      </c>
      <c r="O10" s="264">
        <v>45734</v>
      </c>
      <c r="P10" s="260"/>
      <c r="Q10" s="259"/>
      <c r="R10" s="259"/>
      <c r="S10" s="780"/>
      <c r="T10" s="783"/>
      <c r="U10" s="771"/>
      <c r="V10" s="2">
        <v>1</v>
      </c>
    </row>
    <row r="11" spans="1:22" s="2" customFormat="1" x14ac:dyDescent="0.3">
      <c r="A11" s="792"/>
      <c r="B11" s="774"/>
      <c r="C11" s="774"/>
      <c r="D11" s="774"/>
      <c r="E11" s="777"/>
      <c r="F11" s="780"/>
      <c r="G11" s="783"/>
      <c r="H11" s="786"/>
      <c r="I11" s="789"/>
      <c r="J11" s="774"/>
      <c r="K11" s="774"/>
      <c r="L11" s="264">
        <v>45747</v>
      </c>
      <c r="M11" s="774"/>
      <c r="N11" s="259">
        <v>191076.7</v>
      </c>
      <c r="O11" s="264">
        <v>45761</v>
      </c>
      <c r="P11" s="260"/>
      <c r="Q11" s="259"/>
      <c r="R11" s="259"/>
      <c r="S11" s="780"/>
      <c r="T11" s="783"/>
      <c r="U11" s="771"/>
      <c r="V11" s="2">
        <v>1</v>
      </c>
    </row>
    <row r="12" spans="1:22" s="2" customFormat="1" x14ac:dyDescent="0.3">
      <c r="A12" s="793"/>
      <c r="B12" s="775"/>
      <c r="C12" s="775"/>
      <c r="D12" s="775"/>
      <c r="E12" s="778"/>
      <c r="F12" s="781"/>
      <c r="G12" s="784"/>
      <c r="H12" s="787"/>
      <c r="I12" s="790"/>
      <c r="J12" s="775"/>
      <c r="K12" s="775"/>
      <c r="L12" s="265">
        <v>45777</v>
      </c>
      <c r="M12" s="775"/>
      <c r="N12" s="261">
        <v>68139.460000000006</v>
      </c>
      <c r="O12" s="265">
        <v>45793</v>
      </c>
      <c r="P12" s="262"/>
      <c r="Q12" s="261"/>
      <c r="R12" s="261"/>
      <c r="S12" s="781"/>
      <c r="T12" s="784"/>
      <c r="U12" s="772"/>
      <c r="V12" s="2">
        <v>1</v>
      </c>
    </row>
    <row r="13" spans="1:22" s="106" customFormat="1" ht="54" customHeight="1" x14ac:dyDescent="0.3">
      <c r="A13" s="796">
        <v>2</v>
      </c>
      <c r="B13" s="798"/>
      <c r="C13" s="798" t="s">
        <v>147</v>
      </c>
      <c r="D13" s="798" t="s">
        <v>222</v>
      </c>
      <c r="E13" s="806">
        <v>45709</v>
      </c>
      <c r="F13" s="800" t="s">
        <v>223</v>
      </c>
      <c r="G13" s="802">
        <v>960353.57</v>
      </c>
      <c r="H13" s="808">
        <f>IF(V13 = 2, G13 + SUM(Q13:Q14) - SUM(R13:R14) - SUM(N13:N14) - T13,0)</f>
        <v>-1.1641532182693481E-10</v>
      </c>
      <c r="I13" s="810">
        <v>7715995942</v>
      </c>
      <c r="J13" s="798" t="s">
        <v>221</v>
      </c>
      <c r="K13" s="798" t="s">
        <v>224</v>
      </c>
      <c r="L13" s="282">
        <v>45749</v>
      </c>
      <c r="M13" s="798" t="s">
        <v>225</v>
      </c>
      <c r="N13" s="278">
        <v>760472.02</v>
      </c>
      <c r="O13" s="282">
        <v>45777</v>
      </c>
      <c r="P13" s="279"/>
      <c r="Q13" s="278"/>
      <c r="R13" s="278"/>
      <c r="S13" s="800"/>
      <c r="T13" s="802"/>
      <c r="U13" s="804"/>
      <c r="V13" s="106">
        <v>2</v>
      </c>
    </row>
    <row r="14" spans="1:22" s="2" customFormat="1" x14ac:dyDescent="0.3">
      <c r="A14" s="797"/>
      <c r="B14" s="799"/>
      <c r="C14" s="799"/>
      <c r="D14" s="799"/>
      <c r="E14" s="807"/>
      <c r="F14" s="801"/>
      <c r="G14" s="803"/>
      <c r="H14" s="809"/>
      <c r="I14" s="811"/>
      <c r="J14" s="799"/>
      <c r="K14" s="799"/>
      <c r="L14" s="283">
        <v>45810</v>
      </c>
      <c r="M14" s="799"/>
      <c r="N14" s="280">
        <v>199881.55</v>
      </c>
      <c r="O14" s="283">
        <v>45810</v>
      </c>
      <c r="P14" s="281"/>
      <c r="Q14" s="280"/>
      <c r="R14" s="280"/>
      <c r="S14" s="801"/>
      <c r="T14" s="803"/>
      <c r="U14" s="805"/>
      <c r="V14" s="2">
        <v>2</v>
      </c>
    </row>
    <row r="15" spans="1:22" x14ac:dyDescent="0.3">
      <c r="V15" s="8">
        <v>3</v>
      </c>
    </row>
  </sheetData>
  <sheetProtection password="EB34" sheet="1" objects="1" scenarios="1" formatCells="0" formatColumns="0" formatRows="0"/>
  <mergeCells count="33">
    <mergeCell ref="U13:U14"/>
    <mergeCell ref="D13:D14"/>
    <mergeCell ref="E13:E14"/>
    <mergeCell ref="F13:F14"/>
    <mergeCell ref="G13:G14"/>
    <mergeCell ref="H13:H14"/>
    <mergeCell ref="I13:I14"/>
    <mergeCell ref="J13:J14"/>
    <mergeCell ref="K13:K14"/>
    <mergeCell ref="A13:A14"/>
    <mergeCell ref="M13:M14"/>
    <mergeCell ref="S13:S14"/>
    <mergeCell ref="B13:B14"/>
    <mergeCell ref="T13:T14"/>
    <mergeCell ref="C13:C14"/>
    <mergeCell ref="A9:A12"/>
    <mergeCell ref="B9:B12"/>
    <mergeCell ref="C9:C12"/>
    <mergeCell ref="Q2:S2"/>
    <mergeCell ref="E2:F2"/>
    <mergeCell ref="L2:M2"/>
    <mergeCell ref="M9:M12"/>
    <mergeCell ref="S9:S12"/>
    <mergeCell ref="U9:U12"/>
    <mergeCell ref="D9:D12"/>
    <mergeCell ref="E9:E12"/>
    <mergeCell ref="F9:F12"/>
    <mergeCell ref="G9:G12"/>
    <mergeCell ref="H9:H12"/>
    <mergeCell ref="I9:I12"/>
    <mergeCell ref="J9:J12"/>
    <mergeCell ref="K9:K12"/>
    <mergeCell ref="T9:T12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17"/>
  <sheetViews>
    <sheetView showGridLines="0" topLeftCell="L1" zoomScale="50" zoomScaleNormal="50" workbookViewId="0">
      <pane ySplit="8" topLeftCell="A9" activePane="bottomLeft" state="frozen"/>
      <selection pane="bottomLeft" activeCell="U9" sqref="U9:U13"/>
    </sheetView>
  </sheetViews>
  <sheetFormatPr defaultColWidth="0" defaultRowHeight="18" x14ac:dyDescent="0.3"/>
  <cols>
    <col min="1" max="1" width="9.109375" style="3" customWidth="1"/>
    <col min="2" max="2" width="44" style="3" customWidth="1"/>
    <col min="3" max="3" width="30.6640625" style="3" customWidth="1"/>
    <col min="4" max="6" width="33.6640625" style="3" customWidth="1"/>
    <col min="7" max="8" width="22.33203125" style="11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8" width="21.88671875" style="11" customWidth="1"/>
    <col min="19" max="19" width="23.5546875" style="3" customWidth="1"/>
    <col min="20" max="20" width="31.33203125" style="12" customWidth="1"/>
    <col min="21" max="21" width="27.6640625" style="12" customWidth="1"/>
    <col min="22" max="22" width="25.44140625" style="11" customWidth="1"/>
    <col min="23" max="23" width="25" style="12" customWidth="1"/>
    <col min="24" max="24" width="24.5546875" style="3" customWidth="1"/>
    <col min="25" max="25" width="24.88671875" style="3" customWidth="1"/>
    <col min="26" max="26" width="24" style="3" customWidth="1"/>
    <col min="27" max="27" width="23.6640625" style="12" customWidth="1"/>
    <col min="28" max="28" width="19.109375" style="11" customWidth="1"/>
    <col min="29" max="29" width="23.109375" style="3" customWidth="1"/>
    <col min="30" max="30" width="9.109375" style="8" hidden="1" customWidth="1"/>
    <col min="31" max="31" width="8.5546875" style="8" hidden="1" customWidth="1"/>
    <col min="32" max="38" width="0" style="8" hidden="1" customWidth="1"/>
    <col min="39" max="16384" width="9.109375" style="8" hidden="1"/>
  </cols>
  <sheetData>
    <row r="1" spans="1:33" ht="18.600000000000001" thickBot="1" x14ac:dyDescent="0.35"/>
    <row r="2" spans="1:33" ht="39.9" customHeight="1" thickBot="1" x14ac:dyDescent="0.35">
      <c r="E2" s="704" t="s">
        <v>139</v>
      </c>
      <c r="F2" s="705"/>
      <c r="G2" s="100">
        <f>SUM(G9:G10001)</f>
        <v>1806282</v>
      </c>
      <c r="H2" s="15"/>
      <c r="O2" s="704" t="s">
        <v>24</v>
      </c>
      <c r="P2" s="705"/>
      <c r="Q2" s="98">
        <f>SUM(Q9:Q10001)</f>
        <v>1739602.8</v>
      </c>
      <c r="T2" s="546" t="s">
        <v>137</v>
      </c>
      <c r="U2" s="548"/>
      <c r="V2" s="87">
        <f>SUM(V9:V10001)</f>
        <v>797245.53</v>
      </c>
      <c r="X2" s="86"/>
      <c r="Y2" s="546" t="s">
        <v>45</v>
      </c>
      <c r="Z2" s="547"/>
      <c r="AA2" s="548"/>
      <c r="AB2" s="88">
        <f>SUM(AB9:AB10001)</f>
        <v>0</v>
      </c>
    </row>
    <row r="3" spans="1:33" x14ac:dyDescent="0.3">
      <c r="F3" s="45"/>
      <c r="G3" s="43"/>
      <c r="H3" s="43"/>
      <c r="I3" s="46"/>
      <c r="J3" s="46"/>
      <c r="K3" s="41"/>
      <c r="L3" s="41"/>
      <c r="M3" s="41"/>
      <c r="N3" s="42"/>
      <c r="O3" s="41"/>
      <c r="P3" s="45"/>
      <c r="Q3" s="43"/>
      <c r="R3" s="44"/>
      <c r="S3" s="41"/>
      <c r="T3" s="38"/>
      <c r="U3" s="38"/>
      <c r="V3" s="43"/>
      <c r="W3" s="42"/>
      <c r="X3" s="38"/>
      <c r="Y3" s="38"/>
      <c r="Z3" s="38"/>
      <c r="AA3" s="38"/>
      <c r="AB3" s="43"/>
    </row>
    <row r="4" spans="1:33" ht="39.9" customHeight="1" x14ac:dyDescent="0.3">
      <c r="F4" s="45"/>
      <c r="G4" s="43"/>
      <c r="H4" s="43"/>
      <c r="I4" s="46"/>
      <c r="J4" s="46"/>
      <c r="K4" s="41"/>
      <c r="L4" s="41"/>
      <c r="M4" s="41"/>
      <c r="N4" s="42"/>
      <c r="O4" s="41"/>
      <c r="P4" s="45"/>
      <c r="Q4" s="43"/>
      <c r="R4" s="44"/>
      <c r="S4" s="41"/>
      <c r="T4" s="38"/>
      <c r="U4" s="38"/>
      <c r="V4" s="43"/>
      <c r="W4" s="42"/>
      <c r="X4" s="38"/>
      <c r="Y4" s="38"/>
      <c r="Z4" s="38"/>
      <c r="AA4" s="38"/>
      <c r="AB4" s="43"/>
    </row>
    <row r="6" spans="1:33" ht="126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3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18</v>
      </c>
      <c r="R6" s="31" t="s">
        <v>22</v>
      </c>
      <c r="S6" s="23" t="s">
        <v>19</v>
      </c>
      <c r="T6" s="30" t="s">
        <v>37</v>
      </c>
      <c r="U6" s="30" t="s">
        <v>20</v>
      </c>
      <c r="V6" s="31" t="s">
        <v>23</v>
      </c>
      <c r="W6" s="30" t="s">
        <v>9</v>
      </c>
      <c r="X6" s="28" t="s">
        <v>40</v>
      </c>
      <c r="Y6" s="28" t="s">
        <v>103</v>
      </c>
      <c r="Z6" s="28" t="s">
        <v>104</v>
      </c>
      <c r="AA6" s="27" t="s">
        <v>41</v>
      </c>
      <c r="AB6" s="31" t="s">
        <v>43</v>
      </c>
      <c r="AC6" s="23" t="s">
        <v>42</v>
      </c>
      <c r="AD6" s="16"/>
      <c r="AE6" s="16"/>
      <c r="AF6" s="16"/>
      <c r="AG6" s="16"/>
    </row>
    <row r="7" spans="1:33" ht="16.95" customHeight="1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6" t="s">
        <v>79</v>
      </c>
      <c r="P8" s="121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5" t="s">
        <v>81</v>
      </c>
      <c r="V8" s="24">
        <v>8775.01</v>
      </c>
      <c r="W8" s="25">
        <v>43696</v>
      </c>
      <c r="X8" s="26"/>
      <c r="Y8" s="72"/>
      <c r="Z8" s="72"/>
      <c r="AA8" s="25"/>
      <c r="AB8" s="24"/>
      <c r="AC8" s="26" t="s">
        <v>64</v>
      </c>
    </row>
    <row r="9" spans="1:33" s="106" customFormat="1" ht="144" customHeight="1" x14ac:dyDescent="0.3">
      <c r="A9" s="812">
        <v>1</v>
      </c>
      <c r="B9" s="815" t="s">
        <v>56</v>
      </c>
      <c r="C9" s="815" t="s">
        <v>195</v>
      </c>
      <c r="D9" s="815" t="s">
        <v>147</v>
      </c>
      <c r="E9" s="815" t="s">
        <v>197</v>
      </c>
      <c r="F9" s="815" t="s">
        <v>181</v>
      </c>
      <c r="G9" s="821">
        <v>740880</v>
      </c>
      <c r="H9" s="824">
        <f>IF(AD9 = 1, G9 - Q9,0)</f>
        <v>66679.199999999953</v>
      </c>
      <c r="I9" s="821">
        <v>2</v>
      </c>
      <c r="J9" s="821"/>
      <c r="K9" s="815" t="s">
        <v>162</v>
      </c>
      <c r="L9" s="815" t="s">
        <v>196</v>
      </c>
      <c r="M9" s="815" t="s">
        <v>180</v>
      </c>
      <c r="N9" s="830">
        <v>45649</v>
      </c>
      <c r="O9" s="839">
        <v>2304067057</v>
      </c>
      <c r="P9" s="842" t="s">
        <v>182</v>
      </c>
      <c r="Q9" s="821">
        <v>674200.8</v>
      </c>
      <c r="R9" s="824">
        <f>IF(AD9 = 1, Q9 + SUM(Y9:Y13) - SUM(Z9:Z13) - SUM(V9:V13) - AB9,0)</f>
        <v>0</v>
      </c>
      <c r="S9" s="815"/>
      <c r="T9" s="431">
        <v>45691</v>
      </c>
      <c r="U9" s="818" t="s">
        <v>164</v>
      </c>
      <c r="V9" s="425">
        <v>142178.4</v>
      </c>
      <c r="W9" s="431">
        <v>45700</v>
      </c>
      <c r="X9" s="426"/>
      <c r="Y9" s="425"/>
      <c r="Z9" s="425"/>
      <c r="AA9" s="818"/>
      <c r="AB9" s="821"/>
      <c r="AC9" s="827"/>
      <c r="AD9" s="106">
        <v>1</v>
      </c>
    </row>
    <row r="10" spans="1:33" s="2" customFormat="1" x14ac:dyDescent="0.3">
      <c r="A10" s="813"/>
      <c r="B10" s="816"/>
      <c r="C10" s="816"/>
      <c r="D10" s="816"/>
      <c r="E10" s="816"/>
      <c r="F10" s="816"/>
      <c r="G10" s="822"/>
      <c r="H10" s="825"/>
      <c r="I10" s="822"/>
      <c r="J10" s="822"/>
      <c r="K10" s="816"/>
      <c r="L10" s="816"/>
      <c r="M10" s="816"/>
      <c r="N10" s="831"/>
      <c r="O10" s="840"/>
      <c r="P10" s="843"/>
      <c r="Q10" s="822"/>
      <c r="R10" s="825"/>
      <c r="S10" s="816"/>
      <c r="T10" s="432">
        <v>45719</v>
      </c>
      <c r="U10" s="819"/>
      <c r="V10" s="427">
        <v>128419.2</v>
      </c>
      <c r="W10" s="432">
        <v>45726</v>
      </c>
      <c r="X10" s="428"/>
      <c r="Y10" s="427"/>
      <c r="Z10" s="427"/>
      <c r="AA10" s="819"/>
      <c r="AB10" s="822"/>
      <c r="AC10" s="828"/>
      <c r="AD10" s="2">
        <v>1</v>
      </c>
    </row>
    <row r="11" spans="1:33" s="2" customFormat="1" x14ac:dyDescent="0.3">
      <c r="A11" s="813"/>
      <c r="B11" s="816"/>
      <c r="C11" s="816"/>
      <c r="D11" s="816"/>
      <c r="E11" s="816"/>
      <c r="F11" s="816"/>
      <c r="G11" s="822"/>
      <c r="H11" s="825"/>
      <c r="I11" s="822"/>
      <c r="J11" s="822"/>
      <c r="K11" s="816"/>
      <c r="L11" s="816"/>
      <c r="M11" s="816"/>
      <c r="N11" s="831"/>
      <c r="O11" s="840"/>
      <c r="P11" s="843"/>
      <c r="Q11" s="822"/>
      <c r="R11" s="825"/>
      <c r="S11" s="816"/>
      <c r="T11" s="432">
        <v>45749</v>
      </c>
      <c r="U11" s="819"/>
      <c r="V11" s="427">
        <v>142178.4</v>
      </c>
      <c r="W11" s="432">
        <v>45751</v>
      </c>
      <c r="X11" s="428"/>
      <c r="Y11" s="427"/>
      <c r="Z11" s="427"/>
      <c r="AA11" s="819"/>
      <c r="AB11" s="822"/>
      <c r="AC11" s="828"/>
      <c r="AD11" s="2">
        <v>1</v>
      </c>
    </row>
    <row r="12" spans="1:33" s="2" customFormat="1" x14ac:dyDescent="0.3">
      <c r="A12" s="813"/>
      <c r="B12" s="816"/>
      <c r="C12" s="816"/>
      <c r="D12" s="816"/>
      <c r="E12" s="816"/>
      <c r="F12" s="816"/>
      <c r="G12" s="822"/>
      <c r="H12" s="825"/>
      <c r="I12" s="822"/>
      <c r="J12" s="822"/>
      <c r="K12" s="816"/>
      <c r="L12" s="816"/>
      <c r="M12" s="816"/>
      <c r="N12" s="831"/>
      <c r="O12" s="840"/>
      <c r="P12" s="843"/>
      <c r="Q12" s="822"/>
      <c r="R12" s="825"/>
      <c r="S12" s="816"/>
      <c r="T12" s="432">
        <v>45782</v>
      </c>
      <c r="U12" s="819"/>
      <c r="V12" s="427">
        <v>137592</v>
      </c>
      <c r="W12" s="432">
        <v>45789</v>
      </c>
      <c r="X12" s="428"/>
      <c r="Y12" s="427"/>
      <c r="Z12" s="427"/>
      <c r="AA12" s="819"/>
      <c r="AB12" s="822"/>
      <c r="AC12" s="828"/>
      <c r="AD12" s="2">
        <v>1</v>
      </c>
    </row>
    <row r="13" spans="1:33" s="2" customFormat="1" x14ac:dyDescent="0.3">
      <c r="A13" s="814"/>
      <c r="B13" s="817"/>
      <c r="C13" s="817"/>
      <c r="D13" s="817"/>
      <c r="E13" s="817"/>
      <c r="F13" s="817"/>
      <c r="G13" s="823"/>
      <c r="H13" s="826"/>
      <c r="I13" s="823"/>
      <c r="J13" s="823"/>
      <c r="K13" s="817"/>
      <c r="L13" s="817"/>
      <c r="M13" s="817"/>
      <c r="N13" s="832"/>
      <c r="O13" s="841"/>
      <c r="P13" s="844"/>
      <c r="Q13" s="823"/>
      <c r="R13" s="826"/>
      <c r="S13" s="817"/>
      <c r="T13" s="433">
        <v>45805</v>
      </c>
      <c r="U13" s="820"/>
      <c r="V13" s="429">
        <v>123832.8</v>
      </c>
      <c r="W13" s="433">
        <v>45812</v>
      </c>
      <c r="X13" s="430"/>
      <c r="Y13" s="429"/>
      <c r="Z13" s="429"/>
      <c r="AA13" s="820"/>
      <c r="AB13" s="823"/>
      <c r="AC13" s="829"/>
      <c r="AD13" s="2">
        <v>1</v>
      </c>
    </row>
    <row r="14" spans="1:33" s="106" customFormat="1" ht="162" customHeight="1" x14ac:dyDescent="0.3">
      <c r="A14" s="812">
        <v>2</v>
      </c>
      <c r="B14" s="815" t="s">
        <v>56</v>
      </c>
      <c r="C14" s="815" t="s">
        <v>335</v>
      </c>
      <c r="D14" s="815" t="s">
        <v>147</v>
      </c>
      <c r="E14" s="815" t="s">
        <v>336</v>
      </c>
      <c r="F14" s="815" t="s">
        <v>337</v>
      </c>
      <c r="G14" s="821">
        <v>1065402</v>
      </c>
      <c r="H14" s="824">
        <f>IF(AD14 = 2, G14 - Q14,0)</f>
        <v>0</v>
      </c>
      <c r="I14" s="821">
        <v>3</v>
      </c>
      <c r="J14" s="821"/>
      <c r="K14" s="815" t="s">
        <v>162</v>
      </c>
      <c r="L14" s="815" t="s">
        <v>338</v>
      </c>
      <c r="M14" s="815" t="s">
        <v>336</v>
      </c>
      <c r="N14" s="830">
        <v>45838</v>
      </c>
      <c r="O14" s="833">
        <v>2353020735</v>
      </c>
      <c r="P14" s="836" t="s">
        <v>339</v>
      </c>
      <c r="Q14" s="821">
        <v>1065402</v>
      </c>
      <c r="R14" s="824">
        <f>IF(AD14 = 2, Q14 + SUM(Y14:Y16) - SUM(Z14:Z16) - SUM(V14:V16) - AB14,0)</f>
        <v>942357.27</v>
      </c>
      <c r="S14" s="815"/>
      <c r="T14" s="431">
        <v>45922</v>
      </c>
      <c r="U14" s="818" t="s">
        <v>164</v>
      </c>
      <c r="V14" s="425">
        <v>28214</v>
      </c>
      <c r="W14" s="431">
        <v>45923</v>
      </c>
      <c r="X14" s="426"/>
      <c r="Y14" s="425"/>
      <c r="Z14" s="425"/>
      <c r="AA14" s="818"/>
      <c r="AB14" s="821"/>
      <c r="AC14" s="827"/>
      <c r="AD14" s="106">
        <v>2</v>
      </c>
    </row>
    <row r="15" spans="1:33" s="2" customFormat="1" x14ac:dyDescent="0.3">
      <c r="A15" s="813"/>
      <c r="B15" s="816"/>
      <c r="C15" s="816"/>
      <c r="D15" s="816"/>
      <c r="E15" s="816"/>
      <c r="F15" s="816"/>
      <c r="G15" s="822"/>
      <c r="H15" s="825"/>
      <c r="I15" s="822"/>
      <c r="J15" s="822"/>
      <c r="K15" s="816"/>
      <c r="L15" s="816"/>
      <c r="M15" s="816"/>
      <c r="N15" s="831"/>
      <c r="O15" s="834"/>
      <c r="P15" s="837"/>
      <c r="Q15" s="822"/>
      <c r="R15" s="825"/>
      <c r="S15" s="816"/>
      <c r="T15" s="432">
        <v>45922</v>
      </c>
      <c r="U15" s="819"/>
      <c r="V15" s="427">
        <v>5689.9</v>
      </c>
      <c r="W15" s="432">
        <v>45923</v>
      </c>
      <c r="X15" s="428"/>
      <c r="Y15" s="427"/>
      <c r="Z15" s="427"/>
      <c r="AA15" s="819"/>
      <c r="AB15" s="822"/>
      <c r="AC15" s="828"/>
      <c r="AD15" s="2">
        <v>2</v>
      </c>
    </row>
    <row r="16" spans="1:33" s="2" customFormat="1" x14ac:dyDescent="0.3">
      <c r="A16" s="814"/>
      <c r="B16" s="817"/>
      <c r="C16" s="817"/>
      <c r="D16" s="817"/>
      <c r="E16" s="817"/>
      <c r="F16" s="817"/>
      <c r="G16" s="823"/>
      <c r="H16" s="826"/>
      <c r="I16" s="823"/>
      <c r="J16" s="823"/>
      <c r="K16" s="817"/>
      <c r="L16" s="817"/>
      <c r="M16" s="817"/>
      <c r="N16" s="832"/>
      <c r="O16" s="835"/>
      <c r="P16" s="838"/>
      <c r="Q16" s="823"/>
      <c r="R16" s="826"/>
      <c r="S16" s="817"/>
      <c r="T16" s="433">
        <v>45922</v>
      </c>
      <c r="U16" s="820"/>
      <c r="V16" s="429">
        <v>89140.83</v>
      </c>
      <c r="W16" s="433">
        <v>45922</v>
      </c>
      <c r="X16" s="430"/>
      <c r="Y16" s="429"/>
      <c r="Z16" s="429"/>
      <c r="AA16" s="820"/>
      <c r="AB16" s="823"/>
      <c r="AC16" s="829"/>
      <c r="AD16" s="2">
        <v>2</v>
      </c>
    </row>
    <row r="17" spans="30:30" x14ac:dyDescent="0.3">
      <c r="AD17" s="8">
        <v>3</v>
      </c>
    </row>
  </sheetData>
  <sheetProtection password="EB34" sheet="1" objects="1" scenarios="1" formatCells="0" formatColumns="0" formatRows="0"/>
  <mergeCells count="50">
    <mergeCell ref="AB9:AB13"/>
    <mergeCell ref="C9:C13"/>
    <mergeCell ref="AC9:AC13"/>
    <mergeCell ref="D9:D13"/>
    <mergeCell ref="E9:E13"/>
    <mergeCell ref="F9:F13"/>
    <mergeCell ref="G9:G13"/>
    <mergeCell ref="H9:H13"/>
    <mergeCell ref="I9:I13"/>
    <mergeCell ref="J9:J13"/>
    <mergeCell ref="K9:K13"/>
    <mergeCell ref="L9:L13"/>
    <mergeCell ref="M9:M13"/>
    <mergeCell ref="N9:N13"/>
    <mergeCell ref="O9:O13"/>
    <mergeCell ref="P9:P13"/>
    <mergeCell ref="AC14:AC16"/>
    <mergeCell ref="D14:D16"/>
    <mergeCell ref="E14:E16"/>
    <mergeCell ref="F14:F16"/>
    <mergeCell ref="G14:G16"/>
    <mergeCell ref="H14:H16"/>
    <mergeCell ref="I14:I16"/>
    <mergeCell ref="J14:J16"/>
    <mergeCell ref="K14:K16"/>
    <mergeCell ref="L14:L16"/>
    <mergeCell ref="M14:M16"/>
    <mergeCell ref="N14:N16"/>
    <mergeCell ref="O14:O16"/>
    <mergeCell ref="P14:P16"/>
    <mergeCell ref="Q14:Q16"/>
    <mergeCell ref="R14:R16"/>
    <mergeCell ref="A14:A16"/>
    <mergeCell ref="U14:U16"/>
    <mergeCell ref="AA14:AA16"/>
    <mergeCell ref="B14:B16"/>
    <mergeCell ref="AB14:AB16"/>
    <mergeCell ref="C14:C16"/>
    <mergeCell ref="S14:S16"/>
    <mergeCell ref="A9:A13"/>
    <mergeCell ref="B9:B13"/>
    <mergeCell ref="E2:F2"/>
    <mergeCell ref="O2:P2"/>
    <mergeCell ref="Y2:AA2"/>
    <mergeCell ref="T2:U2"/>
    <mergeCell ref="U9:U13"/>
    <mergeCell ref="AA9:AA13"/>
    <mergeCell ref="Q9:Q13"/>
    <mergeCell ref="R9:R13"/>
    <mergeCell ref="S9:S13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42"/>
  <sheetViews>
    <sheetView showGridLines="0" topLeftCell="Q1" zoomScale="50" zoomScaleNormal="50" workbookViewId="0">
      <pane ySplit="8" topLeftCell="A27" activePane="bottomLeft" state="frozen"/>
      <selection pane="bottomLeft" activeCell="V9" sqref="V9:V41"/>
    </sheetView>
  </sheetViews>
  <sheetFormatPr defaultColWidth="0" defaultRowHeight="18" x14ac:dyDescent="0.3"/>
  <cols>
    <col min="1" max="1" width="9.109375" style="3" customWidth="1"/>
    <col min="2" max="2" width="47.109375" style="3" customWidth="1"/>
    <col min="3" max="3" width="34.44140625" style="3" customWidth="1"/>
    <col min="4" max="6" width="33.6640625" style="3" customWidth="1"/>
    <col min="7" max="7" width="22.33203125" style="11" customWidth="1"/>
    <col min="8" max="8" width="22.33203125" style="8" customWidth="1"/>
    <col min="9" max="9" width="24.33203125" style="35" customWidth="1"/>
    <col min="10" max="10" width="28.44140625" style="35" customWidth="1"/>
    <col min="11" max="12" width="19.5546875" style="3" customWidth="1"/>
    <col min="13" max="13" width="25.6640625" style="3" customWidth="1"/>
    <col min="14" max="14" width="24.44140625" style="12" bestFit="1" customWidth="1"/>
    <col min="15" max="15" width="24.44140625" style="3" customWidth="1"/>
    <col min="16" max="16" width="31.5546875" style="3" customWidth="1"/>
    <col min="17" max="17" width="27" style="11" customWidth="1"/>
    <col min="18" max="18" width="21.88671875" style="8" customWidth="1"/>
    <col min="19" max="19" width="23.5546875" style="8" customWidth="1"/>
    <col min="20" max="20" width="32.4414062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5.109375" style="8" customWidth="1"/>
    <col min="27" max="27" width="23.88671875" style="8" customWidth="1"/>
    <col min="28" max="28" width="20.33203125" style="8" customWidth="1"/>
    <col min="29" max="29" width="20" style="8" customWidth="1"/>
    <col min="30" max="38" width="0" style="8" hidden="1" customWidth="1"/>
    <col min="39" max="16384" width="9.109375" style="8" hidden="1"/>
  </cols>
  <sheetData>
    <row r="1" spans="1:33" ht="18.600000000000001" thickBot="1" x14ac:dyDescent="0.35">
      <c r="T1" s="16"/>
    </row>
    <row r="2" spans="1:33" ht="39.9" customHeight="1" thickBot="1" x14ac:dyDescent="0.35">
      <c r="E2" s="704" t="s">
        <v>139</v>
      </c>
      <c r="F2" s="705"/>
      <c r="G2" s="100">
        <f>SUM(G9:G9999)</f>
        <v>1599844.19</v>
      </c>
      <c r="H2" s="15"/>
      <c r="O2" s="704" t="s">
        <v>24</v>
      </c>
      <c r="P2" s="705"/>
      <c r="Q2" s="98">
        <f>SUM(Q9:Q9999)</f>
        <v>1599844.19</v>
      </c>
      <c r="T2" s="546" t="s">
        <v>137</v>
      </c>
      <c r="U2" s="548"/>
      <c r="V2" s="87">
        <f>SUM(V9:V9999)</f>
        <v>1412832.5899999999</v>
      </c>
      <c r="X2" s="86"/>
      <c r="Y2" s="546" t="s">
        <v>45</v>
      </c>
      <c r="Z2" s="547"/>
      <c r="AA2" s="548"/>
      <c r="AB2" s="88">
        <f>SUM(AB9:AB9999)</f>
        <v>187011.6</v>
      </c>
    </row>
    <row r="4" spans="1:33" ht="39.9" customHeight="1" x14ac:dyDescent="0.3"/>
    <row r="6" spans="1:33" ht="108" x14ac:dyDescent="0.3">
      <c r="A6" s="23" t="s">
        <v>8</v>
      </c>
      <c r="B6" s="23" t="s">
        <v>47</v>
      </c>
      <c r="C6" s="23" t="s">
        <v>33</v>
      </c>
      <c r="D6" s="23" t="s">
        <v>10</v>
      </c>
      <c r="E6" s="23" t="s">
        <v>11</v>
      </c>
      <c r="F6" s="23" t="s">
        <v>12</v>
      </c>
      <c r="G6" s="31" t="s">
        <v>13</v>
      </c>
      <c r="H6" s="1" t="s">
        <v>34</v>
      </c>
      <c r="I6" s="36" t="s">
        <v>16</v>
      </c>
      <c r="J6" s="36" t="s">
        <v>17</v>
      </c>
      <c r="K6" s="23" t="s">
        <v>14</v>
      </c>
      <c r="L6" s="23" t="s">
        <v>32</v>
      </c>
      <c r="M6" s="23" t="s">
        <v>15</v>
      </c>
      <c r="N6" s="30" t="s">
        <v>0</v>
      </c>
      <c r="O6" s="23" t="s">
        <v>46</v>
      </c>
      <c r="P6" s="23" t="s">
        <v>5</v>
      </c>
      <c r="Q6" s="31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x14ac:dyDescent="0.3">
      <c r="A7" s="78" t="s">
        <v>36</v>
      </c>
      <c r="B7" s="78" t="s">
        <v>110</v>
      </c>
      <c r="C7" s="78" t="s">
        <v>111</v>
      </c>
      <c r="D7" s="78" t="s">
        <v>112</v>
      </c>
      <c r="E7" s="78" t="s">
        <v>113</v>
      </c>
      <c r="F7" s="78" t="s">
        <v>114</v>
      </c>
      <c r="G7" s="78" t="s">
        <v>115</v>
      </c>
      <c r="H7" s="78" t="s">
        <v>116</v>
      </c>
      <c r="I7" s="78" t="s">
        <v>117</v>
      </c>
      <c r="J7" s="78" t="s">
        <v>118</v>
      </c>
      <c r="K7" s="78" t="s">
        <v>119</v>
      </c>
      <c r="L7" s="78" t="s">
        <v>120</v>
      </c>
      <c r="M7" s="78" t="s">
        <v>121</v>
      </c>
      <c r="N7" s="78" t="s">
        <v>122</v>
      </c>
      <c r="O7" s="78" t="s">
        <v>123</v>
      </c>
      <c r="P7" s="78" t="s">
        <v>124</v>
      </c>
      <c r="Q7" s="78" t="s">
        <v>125</v>
      </c>
      <c r="R7" s="78" t="s">
        <v>126</v>
      </c>
      <c r="S7" s="78" t="s">
        <v>127</v>
      </c>
      <c r="T7" s="78" t="s">
        <v>128</v>
      </c>
      <c r="U7" s="78" t="s">
        <v>129</v>
      </c>
      <c r="V7" s="78" t="s">
        <v>130</v>
      </c>
      <c r="W7" s="78" t="s">
        <v>131</v>
      </c>
      <c r="X7" s="78" t="s">
        <v>132</v>
      </c>
      <c r="Y7" s="78" t="s">
        <v>133</v>
      </c>
      <c r="Z7" s="78" t="s">
        <v>134</v>
      </c>
      <c r="AA7" s="78" t="s">
        <v>135</v>
      </c>
      <c r="AB7" s="78" t="s">
        <v>136</v>
      </c>
      <c r="AC7" s="78" t="s">
        <v>138</v>
      </c>
      <c r="AD7" s="16"/>
      <c r="AE7" s="16"/>
      <c r="AF7" s="16"/>
      <c r="AG7" s="16"/>
    </row>
    <row r="8" spans="1:33" ht="0.45" customHeight="1" x14ac:dyDescent="0.3">
      <c r="A8" s="72" t="s">
        <v>36</v>
      </c>
      <c r="B8" s="72"/>
      <c r="C8" s="72" t="s">
        <v>73</v>
      </c>
      <c r="D8" s="72" t="s">
        <v>74</v>
      </c>
      <c r="E8" s="72" t="s">
        <v>71</v>
      </c>
      <c r="F8" s="72" t="s">
        <v>72</v>
      </c>
      <c r="G8" s="74">
        <v>15500.01</v>
      </c>
      <c r="H8" s="74">
        <f t="shared" ref="H8" si="0">G8-Q8</f>
        <v>6725</v>
      </c>
      <c r="I8" s="97">
        <v>6</v>
      </c>
      <c r="J8" s="97">
        <v>0</v>
      </c>
      <c r="K8" s="72" t="s">
        <v>75</v>
      </c>
      <c r="L8" s="72" t="s">
        <v>76</v>
      </c>
      <c r="M8" s="72" t="s">
        <v>77</v>
      </c>
      <c r="N8" s="73">
        <v>43655</v>
      </c>
      <c r="O8" s="72" t="s">
        <v>79</v>
      </c>
      <c r="P8" s="72" t="s">
        <v>78</v>
      </c>
      <c r="Q8" s="74">
        <v>8775.01</v>
      </c>
      <c r="R8" s="74">
        <f>Q8-V8</f>
        <v>0</v>
      </c>
      <c r="S8" s="72" t="s">
        <v>80</v>
      </c>
      <c r="T8" s="73">
        <v>43677</v>
      </c>
      <c r="U8" s="72" t="s">
        <v>81</v>
      </c>
      <c r="V8" s="74">
        <v>8775.01</v>
      </c>
      <c r="W8" s="73">
        <v>43696</v>
      </c>
      <c r="X8" s="72"/>
      <c r="Y8" s="72"/>
      <c r="Z8" s="72"/>
      <c r="AA8" s="72"/>
      <c r="AB8" s="74"/>
      <c r="AC8" s="75" t="s">
        <v>64</v>
      </c>
    </row>
    <row r="9" spans="1:33" s="106" customFormat="1" ht="144" customHeight="1" x14ac:dyDescent="0.3">
      <c r="A9" s="860">
        <v>1</v>
      </c>
      <c r="B9" s="848" t="s">
        <v>56</v>
      </c>
      <c r="C9" s="848" t="s">
        <v>192</v>
      </c>
      <c r="D9" s="848" t="s">
        <v>147</v>
      </c>
      <c r="E9" s="848" t="s">
        <v>193</v>
      </c>
      <c r="F9" s="848" t="s">
        <v>177</v>
      </c>
      <c r="G9" s="845">
        <v>1599844.19</v>
      </c>
      <c r="H9" s="854">
        <f>IF(AD9 = 1, G9 - Q9,0)</f>
        <v>0</v>
      </c>
      <c r="I9" s="845">
        <v>1</v>
      </c>
      <c r="J9" s="845"/>
      <c r="K9" s="848" t="s">
        <v>162</v>
      </c>
      <c r="L9" s="848" t="s">
        <v>194</v>
      </c>
      <c r="M9" s="848" t="s">
        <v>193</v>
      </c>
      <c r="N9" s="857">
        <v>45642</v>
      </c>
      <c r="O9" s="848" t="s">
        <v>178</v>
      </c>
      <c r="P9" s="848" t="s">
        <v>179</v>
      </c>
      <c r="Q9" s="845">
        <v>1599844.19</v>
      </c>
      <c r="R9" s="854">
        <f>IF(AD9 = 1, Q9 + SUM(Y9:Y41) - SUM(Z9:Z41) - SUM(V9:V41) - AB9,0)</f>
        <v>8.7311491370201111E-11</v>
      </c>
      <c r="S9" s="848"/>
      <c r="T9" s="254">
        <v>45681</v>
      </c>
      <c r="U9" s="848" t="s">
        <v>164</v>
      </c>
      <c r="V9" s="248">
        <v>28455</v>
      </c>
      <c r="W9" s="254">
        <v>45701</v>
      </c>
      <c r="X9" s="249"/>
      <c r="Y9" s="248"/>
      <c r="Z9" s="248"/>
      <c r="AA9" s="848" t="s">
        <v>340</v>
      </c>
      <c r="AB9" s="845">
        <v>187011.6</v>
      </c>
      <c r="AC9" s="851"/>
      <c r="AD9" s="106">
        <v>1</v>
      </c>
    </row>
    <row r="10" spans="1:33" s="2" customFormat="1" x14ac:dyDescent="0.3">
      <c r="A10" s="861"/>
      <c r="B10" s="849"/>
      <c r="C10" s="849"/>
      <c r="D10" s="849"/>
      <c r="E10" s="849"/>
      <c r="F10" s="849"/>
      <c r="G10" s="846"/>
      <c r="H10" s="855"/>
      <c r="I10" s="846"/>
      <c r="J10" s="846"/>
      <c r="K10" s="849"/>
      <c r="L10" s="849"/>
      <c r="M10" s="849"/>
      <c r="N10" s="858"/>
      <c r="O10" s="849"/>
      <c r="P10" s="849"/>
      <c r="Q10" s="846"/>
      <c r="R10" s="855"/>
      <c r="S10" s="849"/>
      <c r="T10" s="255">
        <v>45695</v>
      </c>
      <c r="U10" s="849"/>
      <c r="V10" s="250">
        <v>39340</v>
      </c>
      <c r="W10" s="255">
        <v>45701</v>
      </c>
      <c r="X10" s="251"/>
      <c r="Y10" s="250"/>
      <c r="Z10" s="250"/>
      <c r="AA10" s="849"/>
      <c r="AB10" s="846"/>
      <c r="AC10" s="852"/>
      <c r="AD10" s="2">
        <v>1</v>
      </c>
    </row>
    <row r="11" spans="1:33" s="2" customFormat="1" x14ac:dyDescent="0.3">
      <c r="A11" s="861"/>
      <c r="B11" s="849"/>
      <c r="C11" s="849"/>
      <c r="D11" s="849"/>
      <c r="E11" s="849"/>
      <c r="F11" s="849"/>
      <c r="G11" s="846"/>
      <c r="H11" s="855"/>
      <c r="I11" s="846"/>
      <c r="J11" s="846"/>
      <c r="K11" s="849"/>
      <c r="L11" s="849"/>
      <c r="M11" s="849"/>
      <c r="N11" s="858"/>
      <c r="O11" s="849"/>
      <c r="P11" s="849"/>
      <c r="Q11" s="846"/>
      <c r="R11" s="855"/>
      <c r="S11" s="849"/>
      <c r="T11" s="255">
        <v>45695</v>
      </c>
      <c r="U11" s="849"/>
      <c r="V11" s="250">
        <v>122212.22</v>
      </c>
      <c r="W11" s="255">
        <v>45712</v>
      </c>
      <c r="X11" s="251"/>
      <c r="Y11" s="250"/>
      <c r="Z11" s="250"/>
      <c r="AA11" s="849"/>
      <c r="AB11" s="846"/>
      <c r="AC11" s="852"/>
      <c r="AD11" s="2">
        <v>1</v>
      </c>
    </row>
    <row r="12" spans="1:33" s="2" customFormat="1" x14ac:dyDescent="0.3">
      <c r="A12" s="861"/>
      <c r="B12" s="849"/>
      <c r="C12" s="849"/>
      <c r="D12" s="849"/>
      <c r="E12" s="849"/>
      <c r="F12" s="849"/>
      <c r="G12" s="846"/>
      <c r="H12" s="855"/>
      <c r="I12" s="846"/>
      <c r="J12" s="846"/>
      <c r="K12" s="849"/>
      <c r="L12" s="849"/>
      <c r="M12" s="849"/>
      <c r="N12" s="858"/>
      <c r="O12" s="849"/>
      <c r="P12" s="849"/>
      <c r="Q12" s="846"/>
      <c r="R12" s="855"/>
      <c r="S12" s="849"/>
      <c r="T12" s="255">
        <v>45315</v>
      </c>
      <c r="U12" s="849"/>
      <c r="V12" s="250">
        <v>88397.27</v>
      </c>
      <c r="W12" s="255">
        <v>45712</v>
      </c>
      <c r="X12" s="251"/>
      <c r="Y12" s="250"/>
      <c r="Z12" s="250"/>
      <c r="AA12" s="849"/>
      <c r="AB12" s="846"/>
      <c r="AC12" s="852"/>
      <c r="AD12" s="2">
        <v>1</v>
      </c>
    </row>
    <row r="13" spans="1:33" s="2" customFormat="1" x14ac:dyDescent="0.3">
      <c r="A13" s="861"/>
      <c r="B13" s="849"/>
      <c r="C13" s="849"/>
      <c r="D13" s="849"/>
      <c r="E13" s="849"/>
      <c r="F13" s="849"/>
      <c r="G13" s="846"/>
      <c r="H13" s="855"/>
      <c r="I13" s="846"/>
      <c r="J13" s="846"/>
      <c r="K13" s="849"/>
      <c r="L13" s="849"/>
      <c r="M13" s="849"/>
      <c r="N13" s="858"/>
      <c r="O13" s="849"/>
      <c r="P13" s="849"/>
      <c r="Q13" s="846"/>
      <c r="R13" s="855"/>
      <c r="S13" s="849"/>
      <c r="T13" s="255">
        <v>45695</v>
      </c>
      <c r="U13" s="849"/>
      <c r="V13" s="250">
        <v>7800.86</v>
      </c>
      <c r="W13" s="255">
        <v>45712</v>
      </c>
      <c r="X13" s="251"/>
      <c r="Y13" s="250"/>
      <c r="Z13" s="250"/>
      <c r="AA13" s="849"/>
      <c r="AB13" s="846"/>
      <c r="AC13" s="852"/>
      <c r="AD13" s="2">
        <v>1</v>
      </c>
    </row>
    <row r="14" spans="1:33" s="2" customFormat="1" x14ac:dyDescent="0.3">
      <c r="A14" s="861"/>
      <c r="B14" s="849"/>
      <c r="C14" s="849"/>
      <c r="D14" s="849"/>
      <c r="E14" s="849"/>
      <c r="F14" s="849"/>
      <c r="G14" s="846"/>
      <c r="H14" s="855"/>
      <c r="I14" s="846"/>
      <c r="J14" s="846"/>
      <c r="K14" s="849"/>
      <c r="L14" s="849"/>
      <c r="M14" s="849"/>
      <c r="N14" s="858"/>
      <c r="O14" s="849"/>
      <c r="P14" s="849"/>
      <c r="Q14" s="846"/>
      <c r="R14" s="855"/>
      <c r="S14" s="849"/>
      <c r="T14" s="255">
        <v>45681</v>
      </c>
      <c r="U14" s="849"/>
      <c r="V14" s="250">
        <v>5642.44</v>
      </c>
      <c r="W14" s="255">
        <v>45712</v>
      </c>
      <c r="X14" s="251"/>
      <c r="Y14" s="250"/>
      <c r="Z14" s="250"/>
      <c r="AA14" s="849"/>
      <c r="AB14" s="846"/>
      <c r="AC14" s="852"/>
      <c r="AD14" s="2">
        <v>1</v>
      </c>
    </row>
    <row r="15" spans="1:33" s="2" customFormat="1" x14ac:dyDescent="0.3">
      <c r="A15" s="861"/>
      <c r="B15" s="849"/>
      <c r="C15" s="849"/>
      <c r="D15" s="849"/>
      <c r="E15" s="849"/>
      <c r="F15" s="849"/>
      <c r="G15" s="846"/>
      <c r="H15" s="855"/>
      <c r="I15" s="846"/>
      <c r="J15" s="846"/>
      <c r="K15" s="849"/>
      <c r="L15" s="849"/>
      <c r="M15" s="849"/>
      <c r="N15" s="858"/>
      <c r="O15" s="849"/>
      <c r="P15" s="849"/>
      <c r="Q15" s="846"/>
      <c r="R15" s="855"/>
      <c r="S15" s="849"/>
      <c r="T15" s="255">
        <v>45708</v>
      </c>
      <c r="U15" s="849"/>
      <c r="V15" s="250">
        <v>6044.97</v>
      </c>
      <c r="W15" s="255">
        <v>45719</v>
      </c>
      <c r="X15" s="251"/>
      <c r="Y15" s="250"/>
      <c r="Z15" s="250"/>
      <c r="AA15" s="849"/>
      <c r="AB15" s="846"/>
      <c r="AC15" s="852"/>
      <c r="AD15" s="2">
        <v>1</v>
      </c>
    </row>
    <row r="16" spans="1:33" s="2" customFormat="1" x14ac:dyDescent="0.3">
      <c r="A16" s="861"/>
      <c r="B16" s="849"/>
      <c r="C16" s="849"/>
      <c r="D16" s="849"/>
      <c r="E16" s="849"/>
      <c r="F16" s="849"/>
      <c r="G16" s="846"/>
      <c r="H16" s="855"/>
      <c r="I16" s="846"/>
      <c r="J16" s="846"/>
      <c r="K16" s="849"/>
      <c r="L16" s="849"/>
      <c r="M16" s="849"/>
      <c r="N16" s="858"/>
      <c r="O16" s="849"/>
      <c r="P16" s="849"/>
      <c r="Q16" s="846"/>
      <c r="R16" s="855"/>
      <c r="S16" s="849"/>
      <c r="T16" s="255">
        <v>45708</v>
      </c>
      <c r="U16" s="849"/>
      <c r="V16" s="250">
        <v>30485</v>
      </c>
      <c r="W16" s="255">
        <v>45719</v>
      </c>
      <c r="X16" s="251"/>
      <c r="Y16" s="250"/>
      <c r="Z16" s="250"/>
      <c r="AA16" s="849"/>
      <c r="AB16" s="846"/>
      <c r="AC16" s="852"/>
      <c r="AD16" s="2">
        <v>1</v>
      </c>
    </row>
    <row r="17" spans="1:30" s="2" customFormat="1" x14ac:dyDescent="0.3">
      <c r="A17" s="861"/>
      <c r="B17" s="849"/>
      <c r="C17" s="849"/>
      <c r="D17" s="849"/>
      <c r="E17" s="849"/>
      <c r="F17" s="849"/>
      <c r="G17" s="846"/>
      <c r="H17" s="855"/>
      <c r="I17" s="846"/>
      <c r="J17" s="846"/>
      <c r="K17" s="849"/>
      <c r="L17" s="849"/>
      <c r="M17" s="849"/>
      <c r="N17" s="858"/>
      <c r="O17" s="849"/>
      <c r="P17" s="849"/>
      <c r="Q17" s="846"/>
      <c r="R17" s="855"/>
      <c r="S17" s="849"/>
      <c r="T17" s="255">
        <v>45708</v>
      </c>
      <c r="U17" s="849"/>
      <c r="V17" s="250">
        <v>94703.6</v>
      </c>
      <c r="W17" s="255">
        <v>45719</v>
      </c>
      <c r="X17" s="251"/>
      <c r="Y17" s="250"/>
      <c r="Z17" s="250"/>
      <c r="AA17" s="849"/>
      <c r="AB17" s="846"/>
      <c r="AC17" s="852"/>
      <c r="AD17" s="2">
        <v>1</v>
      </c>
    </row>
    <row r="18" spans="1:30" s="2" customFormat="1" x14ac:dyDescent="0.3">
      <c r="A18" s="861"/>
      <c r="B18" s="849"/>
      <c r="C18" s="849"/>
      <c r="D18" s="849"/>
      <c r="E18" s="849"/>
      <c r="F18" s="849"/>
      <c r="G18" s="846"/>
      <c r="H18" s="855"/>
      <c r="I18" s="846"/>
      <c r="J18" s="846"/>
      <c r="K18" s="849"/>
      <c r="L18" s="849"/>
      <c r="M18" s="849"/>
      <c r="N18" s="858"/>
      <c r="O18" s="849"/>
      <c r="P18" s="849"/>
      <c r="Q18" s="846"/>
      <c r="R18" s="855"/>
      <c r="S18" s="849"/>
      <c r="T18" s="255">
        <v>45722</v>
      </c>
      <c r="U18" s="849"/>
      <c r="V18" s="250">
        <v>102749.6</v>
      </c>
      <c r="W18" s="255">
        <v>45734</v>
      </c>
      <c r="X18" s="251"/>
      <c r="Y18" s="250"/>
      <c r="Z18" s="250"/>
      <c r="AA18" s="849"/>
      <c r="AB18" s="846"/>
      <c r="AC18" s="852"/>
      <c r="AD18" s="2">
        <v>1</v>
      </c>
    </row>
    <row r="19" spans="1:30" s="2" customFormat="1" x14ac:dyDescent="0.3">
      <c r="A19" s="861"/>
      <c r="B19" s="849"/>
      <c r="C19" s="849"/>
      <c r="D19" s="849"/>
      <c r="E19" s="849"/>
      <c r="F19" s="849"/>
      <c r="G19" s="846"/>
      <c r="H19" s="855"/>
      <c r="I19" s="846"/>
      <c r="J19" s="846"/>
      <c r="K19" s="849"/>
      <c r="L19" s="849"/>
      <c r="M19" s="849"/>
      <c r="N19" s="858"/>
      <c r="O19" s="849"/>
      <c r="P19" s="849"/>
      <c r="Q19" s="846"/>
      <c r="R19" s="855"/>
      <c r="S19" s="849"/>
      <c r="T19" s="255">
        <v>45722</v>
      </c>
      <c r="U19" s="849"/>
      <c r="V19" s="250">
        <v>33075</v>
      </c>
      <c r="W19" s="255">
        <v>45734</v>
      </c>
      <c r="X19" s="251"/>
      <c r="Y19" s="250"/>
      <c r="Z19" s="250"/>
      <c r="AA19" s="849"/>
      <c r="AB19" s="846"/>
      <c r="AC19" s="852"/>
      <c r="AD19" s="2">
        <v>1</v>
      </c>
    </row>
    <row r="20" spans="1:30" s="2" customFormat="1" x14ac:dyDescent="0.3">
      <c r="A20" s="861"/>
      <c r="B20" s="849"/>
      <c r="C20" s="849"/>
      <c r="D20" s="849"/>
      <c r="E20" s="849"/>
      <c r="F20" s="849"/>
      <c r="G20" s="846"/>
      <c r="H20" s="855"/>
      <c r="I20" s="846"/>
      <c r="J20" s="846"/>
      <c r="K20" s="849"/>
      <c r="L20" s="849"/>
      <c r="M20" s="849"/>
      <c r="N20" s="858"/>
      <c r="O20" s="849"/>
      <c r="P20" s="849"/>
      <c r="Q20" s="846"/>
      <c r="R20" s="855"/>
      <c r="S20" s="849"/>
      <c r="T20" s="255">
        <v>45722</v>
      </c>
      <c r="U20" s="849"/>
      <c r="V20" s="250">
        <v>6558.55</v>
      </c>
      <c r="W20" s="255">
        <v>45734</v>
      </c>
      <c r="X20" s="251"/>
      <c r="Y20" s="250"/>
      <c r="Z20" s="250"/>
      <c r="AA20" s="849"/>
      <c r="AB20" s="846"/>
      <c r="AC20" s="852"/>
      <c r="AD20" s="2">
        <v>1</v>
      </c>
    </row>
    <row r="21" spans="1:30" s="2" customFormat="1" x14ac:dyDescent="0.3">
      <c r="A21" s="861"/>
      <c r="B21" s="849"/>
      <c r="C21" s="849"/>
      <c r="D21" s="849"/>
      <c r="E21" s="849"/>
      <c r="F21" s="849"/>
      <c r="G21" s="846"/>
      <c r="H21" s="855"/>
      <c r="I21" s="846"/>
      <c r="J21" s="846"/>
      <c r="K21" s="849"/>
      <c r="L21" s="849"/>
      <c r="M21" s="849"/>
      <c r="N21" s="858"/>
      <c r="O21" s="849"/>
      <c r="P21" s="849"/>
      <c r="Q21" s="846"/>
      <c r="R21" s="855"/>
      <c r="S21" s="849"/>
      <c r="T21" s="255">
        <v>45737</v>
      </c>
      <c r="U21" s="849"/>
      <c r="V21" s="250">
        <v>117210.65</v>
      </c>
      <c r="W21" s="255">
        <v>45741</v>
      </c>
      <c r="X21" s="251"/>
      <c r="Y21" s="250"/>
      <c r="Z21" s="250"/>
      <c r="AA21" s="849"/>
      <c r="AB21" s="846"/>
      <c r="AC21" s="852"/>
      <c r="AD21" s="2">
        <v>1</v>
      </c>
    </row>
    <row r="22" spans="1:30" s="2" customFormat="1" x14ac:dyDescent="0.3">
      <c r="A22" s="861"/>
      <c r="B22" s="849"/>
      <c r="C22" s="849"/>
      <c r="D22" s="849"/>
      <c r="E22" s="849"/>
      <c r="F22" s="849"/>
      <c r="G22" s="846"/>
      <c r="H22" s="855"/>
      <c r="I22" s="846"/>
      <c r="J22" s="846"/>
      <c r="K22" s="849"/>
      <c r="L22" s="849"/>
      <c r="M22" s="849"/>
      <c r="N22" s="858"/>
      <c r="O22" s="849"/>
      <c r="P22" s="849"/>
      <c r="Q22" s="846"/>
      <c r="R22" s="855"/>
      <c r="S22" s="849"/>
      <c r="T22" s="255">
        <v>45737</v>
      </c>
      <c r="U22" s="849"/>
      <c r="V22" s="250">
        <v>7481.61</v>
      </c>
      <c r="W22" s="255">
        <v>45741</v>
      </c>
      <c r="X22" s="251"/>
      <c r="Y22" s="250"/>
      <c r="Z22" s="250"/>
      <c r="AA22" s="849"/>
      <c r="AB22" s="846"/>
      <c r="AC22" s="852"/>
      <c r="AD22" s="2">
        <v>1</v>
      </c>
    </row>
    <row r="23" spans="1:30" s="2" customFormat="1" x14ac:dyDescent="0.3">
      <c r="A23" s="861"/>
      <c r="B23" s="849"/>
      <c r="C23" s="849"/>
      <c r="D23" s="849"/>
      <c r="E23" s="849"/>
      <c r="F23" s="849"/>
      <c r="G23" s="846"/>
      <c r="H23" s="855"/>
      <c r="I23" s="846"/>
      <c r="J23" s="846"/>
      <c r="K23" s="849"/>
      <c r="L23" s="849"/>
      <c r="M23" s="849"/>
      <c r="N23" s="858"/>
      <c r="O23" s="849"/>
      <c r="P23" s="849"/>
      <c r="Q23" s="846"/>
      <c r="R23" s="855"/>
      <c r="S23" s="849"/>
      <c r="T23" s="255">
        <v>45737</v>
      </c>
      <c r="U23" s="849"/>
      <c r="V23" s="250">
        <v>37730</v>
      </c>
      <c r="W23" s="255">
        <v>45741</v>
      </c>
      <c r="X23" s="251"/>
      <c r="Y23" s="250"/>
      <c r="Z23" s="250"/>
      <c r="AA23" s="849"/>
      <c r="AB23" s="846"/>
      <c r="AC23" s="852"/>
      <c r="AD23" s="2">
        <v>1</v>
      </c>
    </row>
    <row r="24" spans="1:30" s="2" customFormat="1" x14ac:dyDescent="0.3">
      <c r="A24" s="861"/>
      <c r="B24" s="849"/>
      <c r="C24" s="849"/>
      <c r="D24" s="849"/>
      <c r="E24" s="849"/>
      <c r="F24" s="849"/>
      <c r="G24" s="846"/>
      <c r="H24" s="855"/>
      <c r="I24" s="846"/>
      <c r="J24" s="846"/>
      <c r="K24" s="849"/>
      <c r="L24" s="849"/>
      <c r="M24" s="849"/>
      <c r="N24" s="858"/>
      <c r="O24" s="849"/>
      <c r="P24" s="849"/>
      <c r="Q24" s="846"/>
      <c r="R24" s="855"/>
      <c r="S24" s="849"/>
      <c r="T24" s="255">
        <v>45744</v>
      </c>
      <c r="U24" s="849"/>
      <c r="V24" s="250">
        <v>3886.55</v>
      </c>
      <c r="W24" s="255">
        <v>45751</v>
      </c>
      <c r="X24" s="251"/>
      <c r="Y24" s="250"/>
      <c r="Z24" s="250"/>
      <c r="AA24" s="849"/>
      <c r="AB24" s="846"/>
      <c r="AC24" s="852"/>
      <c r="AD24" s="2">
        <v>1</v>
      </c>
    </row>
    <row r="25" spans="1:30" s="2" customFormat="1" x14ac:dyDescent="0.3">
      <c r="A25" s="861"/>
      <c r="B25" s="849"/>
      <c r="C25" s="849"/>
      <c r="D25" s="849"/>
      <c r="E25" s="849"/>
      <c r="F25" s="849"/>
      <c r="G25" s="846"/>
      <c r="H25" s="855"/>
      <c r="I25" s="846"/>
      <c r="J25" s="846"/>
      <c r="K25" s="849"/>
      <c r="L25" s="849"/>
      <c r="M25" s="849"/>
      <c r="N25" s="858"/>
      <c r="O25" s="849"/>
      <c r="P25" s="849"/>
      <c r="Q25" s="846"/>
      <c r="R25" s="855"/>
      <c r="S25" s="849"/>
      <c r="T25" s="255">
        <v>45744</v>
      </c>
      <c r="U25" s="849"/>
      <c r="V25" s="250">
        <v>19600</v>
      </c>
      <c r="W25" s="255">
        <v>45751</v>
      </c>
      <c r="X25" s="251"/>
      <c r="Y25" s="250"/>
      <c r="Z25" s="250"/>
      <c r="AA25" s="849"/>
      <c r="AB25" s="846"/>
      <c r="AC25" s="852"/>
      <c r="AD25" s="2">
        <v>1</v>
      </c>
    </row>
    <row r="26" spans="1:30" s="2" customFormat="1" x14ac:dyDescent="0.3">
      <c r="A26" s="861"/>
      <c r="B26" s="849"/>
      <c r="C26" s="849"/>
      <c r="D26" s="849"/>
      <c r="E26" s="849"/>
      <c r="F26" s="849"/>
      <c r="G26" s="846"/>
      <c r="H26" s="855"/>
      <c r="I26" s="846"/>
      <c r="J26" s="846"/>
      <c r="K26" s="849"/>
      <c r="L26" s="849"/>
      <c r="M26" s="849"/>
      <c r="N26" s="858"/>
      <c r="O26" s="849"/>
      <c r="P26" s="849"/>
      <c r="Q26" s="846"/>
      <c r="R26" s="855"/>
      <c r="S26" s="849"/>
      <c r="T26" s="255">
        <v>45744</v>
      </c>
      <c r="U26" s="849"/>
      <c r="V26" s="250">
        <v>60888.65</v>
      </c>
      <c r="W26" s="255">
        <v>45751</v>
      </c>
      <c r="X26" s="251"/>
      <c r="Y26" s="250"/>
      <c r="Z26" s="250"/>
      <c r="AA26" s="849"/>
      <c r="AB26" s="846"/>
      <c r="AC26" s="852"/>
      <c r="AD26" s="2">
        <v>1</v>
      </c>
    </row>
    <row r="27" spans="1:30" s="2" customFormat="1" x14ac:dyDescent="0.3">
      <c r="A27" s="861"/>
      <c r="B27" s="849"/>
      <c r="C27" s="849"/>
      <c r="D27" s="849"/>
      <c r="E27" s="849"/>
      <c r="F27" s="849"/>
      <c r="G27" s="846"/>
      <c r="H27" s="855"/>
      <c r="I27" s="846"/>
      <c r="J27" s="846"/>
      <c r="K27" s="849"/>
      <c r="L27" s="849"/>
      <c r="M27" s="849"/>
      <c r="N27" s="858"/>
      <c r="O27" s="849"/>
      <c r="P27" s="849"/>
      <c r="Q27" s="846"/>
      <c r="R27" s="855"/>
      <c r="S27" s="849"/>
      <c r="T27" s="255">
        <v>45757</v>
      </c>
      <c r="U27" s="849"/>
      <c r="V27" s="250">
        <v>4004.53</v>
      </c>
      <c r="W27" s="255">
        <v>45761</v>
      </c>
      <c r="X27" s="251"/>
      <c r="Y27" s="250"/>
      <c r="Z27" s="250"/>
      <c r="AA27" s="849"/>
      <c r="AB27" s="846"/>
      <c r="AC27" s="852"/>
      <c r="AD27" s="2">
        <v>1</v>
      </c>
    </row>
    <row r="28" spans="1:30" s="2" customFormat="1" x14ac:dyDescent="0.3">
      <c r="A28" s="861"/>
      <c r="B28" s="849"/>
      <c r="C28" s="849"/>
      <c r="D28" s="849"/>
      <c r="E28" s="849"/>
      <c r="F28" s="849"/>
      <c r="G28" s="846"/>
      <c r="H28" s="855"/>
      <c r="I28" s="846"/>
      <c r="J28" s="846"/>
      <c r="K28" s="849"/>
      <c r="L28" s="849"/>
      <c r="M28" s="849"/>
      <c r="N28" s="858"/>
      <c r="O28" s="849"/>
      <c r="P28" s="849"/>
      <c r="Q28" s="846"/>
      <c r="R28" s="855"/>
      <c r="S28" s="849"/>
      <c r="T28" s="255">
        <v>45757</v>
      </c>
      <c r="U28" s="849"/>
      <c r="V28" s="250">
        <v>20195</v>
      </c>
      <c r="W28" s="255">
        <v>45761</v>
      </c>
      <c r="X28" s="251"/>
      <c r="Y28" s="250"/>
      <c r="Z28" s="250"/>
      <c r="AA28" s="849"/>
      <c r="AB28" s="846"/>
      <c r="AC28" s="852"/>
      <c r="AD28" s="2">
        <v>1</v>
      </c>
    </row>
    <row r="29" spans="1:30" s="2" customFormat="1" x14ac:dyDescent="0.3">
      <c r="A29" s="861"/>
      <c r="B29" s="849"/>
      <c r="C29" s="849"/>
      <c r="D29" s="849"/>
      <c r="E29" s="849"/>
      <c r="F29" s="849"/>
      <c r="G29" s="846"/>
      <c r="H29" s="855"/>
      <c r="I29" s="846"/>
      <c r="J29" s="846"/>
      <c r="K29" s="849"/>
      <c r="L29" s="849"/>
      <c r="M29" s="849"/>
      <c r="N29" s="858"/>
      <c r="O29" s="849"/>
      <c r="P29" s="849"/>
      <c r="Q29" s="846"/>
      <c r="R29" s="855"/>
      <c r="S29" s="849"/>
      <c r="T29" s="255">
        <v>45757</v>
      </c>
      <c r="U29" s="849"/>
      <c r="V29" s="250">
        <v>62737.06</v>
      </c>
      <c r="W29" s="255">
        <v>45761</v>
      </c>
      <c r="X29" s="251"/>
      <c r="Y29" s="250"/>
      <c r="Z29" s="250"/>
      <c r="AA29" s="849"/>
      <c r="AB29" s="846"/>
      <c r="AC29" s="852"/>
      <c r="AD29" s="2">
        <v>1</v>
      </c>
    </row>
    <row r="30" spans="1:30" s="2" customFormat="1" x14ac:dyDescent="0.3">
      <c r="A30" s="861"/>
      <c r="B30" s="849"/>
      <c r="C30" s="849"/>
      <c r="D30" s="849"/>
      <c r="E30" s="849"/>
      <c r="F30" s="849"/>
      <c r="G30" s="846"/>
      <c r="H30" s="855"/>
      <c r="I30" s="846"/>
      <c r="J30" s="846"/>
      <c r="K30" s="849"/>
      <c r="L30" s="849"/>
      <c r="M30" s="849"/>
      <c r="N30" s="858"/>
      <c r="O30" s="849"/>
      <c r="P30" s="849"/>
      <c r="Q30" s="846"/>
      <c r="R30" s="855"/>
      <c r="S30" s="849"/>
      <c r="T30" s="255">
        <v>45772</v>
      </c>
      <c r="U30" s="849"/>
      <c r="V30" s="250">
        <v>8106.23</v>
      </c>
      <c r="W30" s="255">
        <v>45782</v>
      </c>
      <c r="X30" s="251"/>
      <c r="Y30" s="250"/>
      <c r="Z30" s="250"/>
      <c r="AA30" s="849"/>
      <c r="AB30" s="846"/>
      <c r="AC30" s="852"/>
      <c r="AD30" s="2">
        <v>1</v>
      </c>
    </row>
    <row r="31" spans="1:30" s="2" customFormat="1" x14ac:dyDescent="0.3">
      <c r="A31" s="861"/>
      <c r="B31" s="849"/>
      <c r="C31" s="849"/>
      <c r="D31" s="849"/>
      <c r="E31" s="849"/>
      <c r="F31" s="849"/>
      <c r="G31" s="846"/>
      <c r="H31" s="855"/>
      <c r="I31" s="846"/>
      <c r="J31" s="846"/>
      <c r="K31" s="849"/>
      <c r="L31" s="849"/>
      <c r="M31" s="849"/>
      <c r="N31" s="858"/>
      <c r="O31" s="849"/>
      <c r="P31" s="849"/>
      <c r="Q31" s="846"/>
      <c r="R31" s="855"/>
      <c r="S31" s="849"/>
      <c r="T31" s="255">
        <v>45772</v>
      </c>
      <c r="U31" s="849"/>
      <c r="V31" s="250">
        <v>126996.33</v>
      </c>
      <c r="W31" s="255">
        <v>45782</v>
      </c>
      <c r="X31" s="251"/>
      <c r="Y31" s="250"/>
      <c r="Z31" s="250"/>
      <c r="AA31" s="849"/>
      <c r="AB31" s="846"/>
      <c r="AC31" s="852"/>
      <c r="AD31" s="2">
        <v>1</v>
      </c>
    </row>
    <row r="32" spans="1:30" s="2" customFormat="1" x14ac:dyDescent="0.3">
      <c r="A32" s="861"/>
      <c r="B32" s="849"/>
      <c r="C32" s="849"/>
      <c r="D32" s="849"/>
      <c r="E32" s="849"/>
      <c r="F32" s="849"/>
      <c r="G32" s="846"/>
      <c r="H32" s="855"/>
      <c r="I32" s="846"/>
      <c r="J32" s="846"/>
      <c r="K32" s="849"/>
      <c r="L32" s="849"/>
      <c r="M32" s="849"/>
      <c r="N32" s="858"/>
      <c r="O32" s="849"/>
      <c r="P32" s="849"/>
      <c r="Q32" s="846"/>
      <c r="R32" s="855"/>
      <c r="S32" s="849"/>
      <c r="T32" s="255">
        <v>45772</v>
      </c>
      <c r="U32" s="849"/>
      <c r="V32" s="250">
        <v>40880</v>
      </c>
      <c r="W32" s="255">
        <v>45782</v>
      </c>
      <c r="X32" s="251"/>
      <c r="Y32" s="250"/>
      <c r="Z32" s="250"/>
      <c r="AA32" s="849"/>
      <c r="AB32" s="846"/>
      <c r="AC32" s="852"/>
      <c r="AD32" s="2">
        <v>1</v>
      </c>
    </row>
    <row r="33" spans="1:30" s="2" customFormat="1" x14ac:dyDescent="0.3">
      <c r="A33" s="861"/>
      <c r="B33" s="849"/>
      <c r="C33" s="849"/>
      <c r="D33" s="849"/>
      <c r="E33" s="849"/>
      <c r="F33" s="849"/>
      <c r="G33" s="846"/>
      <c r="H33" s="855"/>
      <c r="I33" s="846"/>
      <c r="J33" s="846"/>
      <c r="K33" s="849"/>
      <c r="L33" s="849"/>
      <c r="M33" s="849"/>
      <c r="N33" s="858"/>
      <c r="O33" s="849"/>
      <c r="P33" s="849"/>
      <c r="Q33" s="846"/>
      <c r="R33" s="855"/>
      <c r="S33" s="849"/>
      <c r="T33" s="255">
        <v>45789</v>
      </c>
      <c r="U33" s="849"/>
      <c r="V33" s="250">
        <v>77089.38</v>
      </c>
      <c r="W33" s="255">
        <v>45793</v>
      </c>
      <c r="X33" s="251"/>
      <c r="Y33" s="250"/>
      <c r="Z33" s="250"/>
      <c r="AA33" s="849"/>
      <c r="AB33" s="846"/>
      <c r="AC33" s="852"/>
      <c r="AD33" s="2">
        <v>1</v>
      </c>
    </row>
    <row r="34" spans="1:30" s="2" customFormat="1" x14ac:dyDescent="0.3">
      <c r="A34" s="861"/>
      <c r="B34" s="849"/>
      <c r="C34" s="849"/>
      <c r="D34" s="849"/>
      <c r="E34" s="849"/>
      <c r="F34" s="849"/>
      <c r="G34" s="846"/>
      <c r="H34" s="855"/>
      <c r="I34" s="846"/>
      <c r="J34" s="846"/>
      <c r="K34" s="849"/>
      <c r="L34" s="849"/>
      <c r="M34" s="849"/>
      <c r="N34" s="858"/>
      <c r="O34" s="849"/>
      <c r="P34" s="849"/>
      <c r="Q34" s="846"/>
      <c r="R34" s="855"/>
      <c r="S34" s="849"/>
      <c r="T34" s="255">
        <v>45789</v>
      </c>
      <c r="U34" s="849"/>
      <c r="V34" s="250">
        <v>4920.6499999999996</v>
      </c>
      <c r="W34" s="255">
        <v>45793</v>
      </c>
      <c r="X34" s="251"/>
      <c r="Y34" s="250"/>
      <c r="Z34" s="250"/>
      <c r="AA34" s="849"/>
      <c r="AB34" s="846"/>
      <c r="AC34" s="852"/>
      <c r="AD34" s="2">
        <v>1</v>
      </c>
    </row>
    <row r="35" spans="1:30" s="2" customFormat="1" x14ac:dyDescent="0.3">
      <c r="A35" s="861"/>
      <c r="B35" s="849"/>
      <c r="C35" s="849"/>
      <c r="D35" s="849"/>
      <c r="E35" s="849"/>
      <c r="F35" s="849"/>
      <c r="G35" s="846"/>
      <c r="H35" s="855"/>
      <c r="I35" s="846"/>
      <c r="J35" s="846"/>
      <c r="K35" s="849"/>
      <c r="L35" s="849"/>
      <c r="M35" s="849"/>
      <c r="N35" s="858"/>
      <c r="O35" s="849"/>
      <c r="P35" s="849"/>
      <c r="Q35" s="846"/>
      <c r="R35" s="855"/>
      <c r="S35" s="849"/>
      <c r="T35" s="255">
        <v>45789</v>
      </c>
      <c r="U35" s="849"/>
      <c r="V35" s="250">
        <v>24815</v>
      </c>
      <c r="W35" s="255">
        <v>45793</v>
      </c>
      <c r="X35" s="251"/>
      <c r="Y35" s="250"/>
      <c r="Z35" s="250"/>
      <c r="AA35" s="849"/>
      <c r="AB35" s="846"/>
      <c r="AC35" s="852"/>
      <c r="AD35" s="2">
        <v>1</v>
      </c>
    </row>
    <row r="36" spans="1:30" s="2" customFormat="1" x14ac:dyDescent="0.3">
      <c r="A36" s="861"/>
      <c r="B36" s="849"/>
      <c r="C36" s="849"/>
      <c r="D36" s="849"/>
      <c r="E36" s="849"/>
      <c r="F36" s="849"/>
      <c r="G36" s="846"/>
      <c r="H36" s="855"/>
      <c r="I36" s="846"/>
      <c r="J36" s="846"/>
      <c r="K36" s="849"/>
      <c r="L36" s="849"/>
      <c r="M36" s="849"/>
      <c r="N36" s="858"/>
      <c r="O36" s="849"/>
      <c r="P36" s="849"/>
      <c r="Q36" s="846"/>
      <c r="R36" s="855"/>
      <c r="S36" s="849"/>
      <c r="T36" s="255">
        <v>45799</v>
      </c>
      <c r="U36" s="849"/>
      <c r="V36" s="250">
        <v>6426.69</v>
      </c>
      <c r="W36" s="255">
        <v>45807</v>
      </c>
      <c r="X36" s="251"/>
      <c r="Y36" s="250"/>
      <c r="Z36" s="250"/>
      <c r="AA36" s="849"/>
      <c r="AB36" s="846"/>
      <c r="AC36" s="852"/>
      <c r="AD36" s="2">
        <v>1</v>
      </c>
    </row>
    <row r="37" spans="1:30" s="2" customFormat="1" x14ac:dyDescent="0.3">
      <c r="A37" s="861"/>
      <c r="B37" s="849"/>
      <c r="C37" s="849"/>
      <c r="D37" s="849"/>
      <c r="E37" s="849"/>
      <c r="F37" s="849"/>
      <c r="G37" s="846"/>
      <c r="H37" s="855"/>
      <c r="I37" s="846"/>
      <c r="J37" s="846"/>
      <c r="K37" s="849"/>
      <c r="L37" s="849"/>
      <c r="M37" s="849"/>
      <c r="N37" s="858"/>
      <c r="O37" s="849"/>
      <c r="P37" s="849"/>
      <c r="Q37" s="846"/>
      <c r="R37" s="855"/>
      <c r="S37" s="849"/>
      <c r="T37" s="255">
        <v>45799</v>
      </c>
      <c r="U37" s="849"/>
      <c r="V37" s="250">
        <v>32410</v>
      </c>
      <c r="W37" s="255">
        <v>45807</v>
      </c>
      <c r="X37" s="251"/>
      <c r="Y37" s="250"/>
      <c r="Z37" s="250"/>
      <c r="AA37" s="849"/>
      <c r="AB37" s="846"/>
      <c r="AC37" s="852"/>
      <c r="AD37" s="2">
        <v>1</v>
      </c>
    </row>
    <row r="38" spans="1:30" s="2" customFormat="1" x14ac:dyDescent="0.3">
      <c r="A38" s="861"/>
      <c r="B38" s="849"/>
      <c r="C38" s="849"/>
      <c r="D38" s="849"/>
      <c r="E38" s="849"/>
      <c r="F38" s="849"/>
      <c r="G38" s="846"/>
      <c r="H38" s="855"/>
      <c r="I38" s="846"/>
      <c r="J38" s="846"/>
      <c r="K38" s="849"/>
      <c r="L38" s="849"/>
      <c r="M38" s="849"/>
      <c r="N38" s="858"/>
      <c r="O38" s="849"/>
      <c r="P38" s="849"/>
      <c r="Q38" s="846"/>
      <c r="R38" s="855"/>
      <c r="S38" s="849"/>
      <c r="T38" s="255">
        <v>45799</v>
      </c>
      <c r="U38" s="849"/>
      <c r="V38" s="250">
        <v>100683.73</v>
      </c>
      <c r="W38" s="255">
        <v>45807</v>
      </c>
      <c r="X38" s="251"/>
      <c r="Y38" s="250"/>
      <c r="Z38" s="250"/>
      <c r="AA38" s="849"/>
      <c r="AB38" s="846"/>
      <c r="AC38" s="852"/>
      <c r="AD38" s="2">
        <v>1</v>
      </c>
    </row>
    <row r="39" spans="1:30" s="2" customFormat="1" x14ac:dyDescent="0.3">
      <c r="A39" s="861"/>
      <c r="B39" s="849"/>
      <c r="C39" s="849"/>
      <c r="D39" s="849"/>
      <c r="E39" s="849"/>
      <c r="F39" s="849"/>
      <c r="G39" s="846"/>
      <c r="H39" s="855"/>
      <c r="I39" s="846"/>
      <c r="J39" s="846"/>
      <c r="K39" s="849"/>
      <c r="L39" s="849"/>
      <c r="M39" s="849"/>
      <c r="N39" s="858"/>
      <c r="O39" s="849"/>
      <c r="P39" s="849"/>
      <c r="Q39" s="846"/>
      <c r="R39" s="855"/>
      <c r="S39" s="849"/>
      <c r="T39" s="255">
        <v>45805</v>
      </c>
      <c r="U39" s="849"/>
      <c r="V39" s="250">
        <v>21210</v>
      </c>
      <c r="W39" s="255">
        <v>45812</v>
      </c>
      <c r="X39" s="251"/>
      <c r="Y39" s="250"/>
      <c r="Z39" s="250"/>
      <c r="AA39" s="849"/>
      <c r="AB39" s="846"/>
      <c r="AC39" s="852"/>
      <c r="AD39" s="2">
        <v>1</v>
      </c>
    </row>
    <row r="40" spans="1:30" s="2" customFormat="1" x14ac:dyDescent="0.3">
      <c r="A40" s="861"/>
      <c r="B40" s="849"/>
      <c r="C40" s="849"/>
      <c r="D40" s="849"/>
      <c r="E40" s="849"/>
      <c r="F40" s="849"/>
      <c r="G40" s="846"/>
      <c r="H40" s="855"/>
      <c r="I40" s="846"/>
      <c r="J40" s="846"/>
      <c r="K40" s="849"/>
      <c r="L40" s="849"/>
      <c r="M40" s="849"/>
      <c r="N40" s="858"/>
      <c r="O40" s="849"/>
      <c r="P40" s="849"/>
      <c r="Q40" s="846"/>
      <c r="R40" s="855"/>
      <c r="S40" s="849"/>
      <c r="T40" s="255">
        <v>45805</v>
      </c>
      <c r="U40" s="849"/>
      <c r="V40" s="250">
        <v>4205.8</v>
      </c>
      <c r="W40" s="255">
        <v>45812</v>
      </c>
      <c r="X40" s="251"/>
      <c r="Y40" s="250"/>
      <c r="Z40" s="250"/>
      <c r="AA40" s="849"/>
      <c r="AB40" s="846"/>
      <c r="AC40" s="852"/>
      <c r="AD40" s="2">
        <v>1</v>
      </c>
    </row>
    <row r="41" spans="1:30" s="2" customFormat="1" x14ac:dyDescent="0.3">
      <c r="A41" s="862"/>
      <c r="B41" s="850"/>
      <c r="C41" s="850"/>
      <c r="D41" s="850"/>
      <c r="E41" s="850"/>
      <c r="F41" s="850"/>
      <c r="G41" s="847"/>
      <c r="H41" s="856"/>
      <c r="I41" s="847"/>
      <c r="J41" s="847"/>
      <c r="K41" s="850"/>
      <c r="L41" s="850"/>
      <c r="M41" s="850"/>
      <c r="N41" s="859"/>
      <c r="O41" s="850"/>
      <c r="P41" s="850"/>
      <c r="Q41" s="847"/>
      <c r="R41" s="856"/>
      <c r="S41" s="850"/>
      <c r="T41" s="256">
        <v>45805</v>
      </c>
      <c r="U41" s="850"/>
      <c r="V41" s="252">
        <v>65890.22</v>
      </c>
      <c r="W41" s="256">
        <v>45812</v>
      </c>
      <c r="X41" s="253"/>
      <c r="Y41" s="252"/>
      <c r="Z41" s="252"/>
      <c r="AA41" s="850"/>
      <c r="AB41" s="847"/>
      <c r="AC41" s="853"/>
      <c r="AD41" s="2">
        <v>1</v>
      </c>
    </row>
    <row r="42" spans="1:30" x14ac:dyDescent="0.3">
      <c r="A42" s="14"/>
      <c r="B42" s="14"/>
      <c r="C42" s="14"/>
      <c r="D42" s="14"/>
      <c r="E42" s="14"/>
      <c r="F42" s="14"/>
      <c r="G42" s="15"/>
      <c r="H42" s="16"/>
      <c r="I42" s="104"/>
      <c r="J42" s="104"/>
      <c r="K42" s="14"/>
      <c r="L42" s="14"/>
      <c r="M42" s="14"/>
      <c r="N42" s="29"/>
      <c r="O42" s="14"/>
      <c r="P42" s="14"/>
      <c r="Q42" s="15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8">
        <v>2</v>
      </c>
    </row>
  </sheetData>
  <sheetProtection password="EB34" sheet="1" objects="1" scenarios="1" formatCells="0" formatColumns="0" formatRows="0"/>
  <mergeCells count="27">
    <mergeCell ref="E2:F2"/>
    <mergeCell ref="O2:P2"/>
    <mergeCell ref="Y2:AA2"/>
    <mergeCell ref="T2:U2"/>
    <mergeCell ref="A9:A41"/>
    <mergeCell ref="U9:U41"/>
    <mergeCell ref="O9:O41"/>
    <mergeCell ref="P9:P41"/>
    <mergeCell ref="Q9:Q41"/>
    <mergeCell ref="R9:R41"/>
    <mergeCell ref="S9:S41"/>
    <mergeCell ref="AA9:AA41"/>
    <mergeCell ref="B9:B41"/>
    <mergeCell ref="AB9:AB41"/>
    <mergeCell ref="C9:C41"/>
    <mergeCell ref="AC9:AC41"/>
    <mergeCell ref="D9:D41"/>
    <mergeCell ref="E9:E41"/>
    <mergeCell ref="F9:F41"/>
    <mergeCell ref="G9:G41"/>
    <mergeCell ref="H9:H41"/>
    <mergeCell ref="I9:I41"/>
    <mergeCell ref="J9:J41"/>
    <mergeCell ref="K9:K41"/>
    <mergeCell ref="L9:L41"/>
    <mergeCell ref="M9:M41"/>
    <mergeCell ref="N9:N4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G21"/>
  <sheetViews>
    <sheetView showGridLines="0" topLeftCell="P1" zoomScale="70" zoomScaleNormal="70" workbookViewId="0">
      <pane ySplit="8" topLeftCell="A9" activePane="bottomLeft" state="frozen"/>
      <selection pane="bottomLeft" activeCell="X9" sqref="X9"/>
    </sheetView>
  </sheetViews>
  <sheetFormatPr defaultColWidth="0" defaultRowHeight="18" x14ac:dyDescent="0.3"/>
  <cols>
    <col min="1" max="1" width="9.109375" style="8" customWidth="1"/>
    <col min="2" max="2" width="47.109375" style="8" customWidth="1"/>
    <col min="3" max="3" width="33.33203125" style="8" customWidth="1"/>
    <col min="4" max="6" width="33.6640625" style="8" customWidth="1"/>
    <col min="7" max="8" width="22.33203125" style="8" customWidth="1"/>
    <col min="9" max="9" width="24.33203125" style="8" customWidth="1"/>
    <col min="10" max="10" width="28.44140625" style="8" customWidth="1"/>
    <col min="11" max="12" width="19.5546875" style="8" customWidth="1"/>
    <col min="13" max="13" width="25.6640625" style="8" customWidth="1"/>
    <col min="14" max="14" width="24.44140625" style="8" bestFit="1" customWidth="1"/>
    <col min="15" max="15" width="24.44140625" style="8" customWidth="1"/>
    <col min="16" max="16" width="31.5546875" style="8" customWidth="1"/>
    <col min="17" max="18" width="21.88671875" style="8" customWidth="1"/>
    <col min="19" max="19" width="23.5546875" style="8" customWidth="1"/>
    <col min="20" max="20" width="31.88671875" style="8" customWidth="1"/>
    <col min="21" max="21" width="27.6640625" style="8" customWidth="1"/>
    <col min="22" max="22" width="25.44140625" style="8" customWidth="1"/>
    <col min="23" max="23" width="25" style="8" customWidth="1"/>
    <col min="24" max="26" width="29.44140625" style="8" customWidth="1"/>
    <col min="27" max="27" width="26.33203125" style="8" customWidth="1"/>
    <col min="28" max="28" width="25.109375" style="8" customWidth="1"/>
    <col min="29" max="29" width="19.109375" style="8" customWidth="1"/>
    <col min="30" max="16384" width="9.109375" style="8" hidden="1"/>
  </cols>
  <sheetData>
    <row r="1" spans="1:33" ht="18.600000000000001" thickBot="1" x14ac:dyDescent="0.35"/>
    <row r="2" spans="1:33" ht="39.9" customHeight="1" thickBot="1" x14ac:dyDescent="0.35">
      <c r="E2" s="704" t="s">
        <v>139</v>
      </c>
      <c r="F2" s="705"/>
      <c r="G2" s="100">
        <f>SUM(G9:G9999)</f>
        <v>1098720</v>
      </c>
      <c r="H2" s="15"/>
      <c r="O2" s="704" t="s">
        <v>24</v>
      </c>
      <c r="P2" s="705"/>
      <c r="Q2" s="98">
        <f>SUM(Q9:Q9999)</f>
        <v>994080</v>
      </c>
      <c r="T2" s="546" t="s">
        <v>137</v>
      </c>
      <c r="U2" s="548"/>
      <c r="V2" s="87">
        <f>SUM(V9:V9999)</f>
        <v>437760</v>
      </c>
      <c r="X2" s="86"/>
      <c r="Y2" s="546" t="s">
        <v>45</v>
      </c>
      <c r="Z2" s="547"/>
      <c r="AA2" s="548"/>
      <c r="AB2" s="88">
        <f>SUM(AB9:AB9999)</f>
        <v>0</v>
      </c>
    </row>
    <row r="4" spans="1:33" ht="39.9" customHeight="1" x14ac:dyDescent="0.3">
      <c r="P4" s="863"/>
      <c r="Q4" s="863"/>
      <c r="R4" s="863"/>
      <c r="T4" s="102"/>
      <c r="U4" s="102"/>
    </row>
    <row r="6" spans="1:33" ht="126" x14ac:dyDescent="0.3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7" t="s">
        <v>40</v>
      </c>
      <c r="Y6" s="17" t="s">
        <v>103</v>
      </c>
      <c r="Z6" s="17" t="s">
        <v>104</v>
      </c>
      <c r="AA6" s="17" t="s">
        <v>41</v>
      </c>
      <c r="AB6" s="1" t="s">
        <v>43</v>
      </c>
      <c r="AC6" s="1" t="s">
        <v>42</v>
      </c>
      <c r="AD6" s="16"/>
      <c r="AE6" s="16"/>
      <c r="AF6" s="16"/>
      <c r="AG6" s="16"/>
    </row>
    <row r="7" spans="1:33" ht="16.5" customHeight="1" x14ac:dyDescent="0.3">
      <c r="A7" s="94">
        <v>1</v>
      </c>
      <c r="B7" s="94">
        <v>2</v>
      </c>
      <c r="C7" s="94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  <c r="R7" s="94">
        <v>18</v>
      </c>
      <c r="S7" s="94">
        <v>19</v>
      </c>
      <c r="T7" s="94">
        <v>20</v>
      </c>
      <c r="U7" s="94">
        <v>21</v>
      </c>
      <c r="V7" s="94">
        <v>22</v>
      </c>
      <c r="W7" s="94">
        <v>23</v>
      </c>
      <c r="X7" s="94">
        <v>24</v>
      </c>
      <c r="Y7" s="94">
        <v>25</v>
      </c>
      <c r="Z7" s="94">
        <v>26</v>
      </c>
      <c r="AA7" s="94">
        <v>27</v>
      </c>
      <c r="AB7" s="94">
        <v>28</v>
      </c>
      <c r="AC7" s="94">
        <v>29</v>
      </c>
      <c r="AD7" s="16"/>
      <c r="AE7" s="16"/>
      <c r="AF7" s="16"/>
      <c r="AG7" s="16"/>
    </row>
    <row r="8" spans="1:33" s="2" customFormat="1" ht="162" hidden="1" x14ac:dyDescent="0.3">
      <c r="A8" s="26" t="s">
        <v>36</v>
      </c>
      <c r="B8" s="26"/>
      <c r="C8" s="26" t="s">
        <v>73</v>
      </c>
      <c r="D8" s="26" t="s">
        <v>74</v>
      </c>
      <c r="E8" s="26" t="s">
        <v>71</v>
      </c>
      <c r="F8" s="26" t="s">
        <v>72</v>
      </c>
      <c r="G8" s="24">
        <v>15500.01</v>
      </c>
      <c r="H8" s="24">
        <f t="shared" ref="H8" si="0">G8-Q8</f>
        <v>6725</v>
      </c>
      <c r="I8" s="37">
        <v>6</v>
      </c>
      <c r="J8" s="37">
        <v>0</v>
      </c>
      <c r="K8" s="26" t="s">
        <v>75</v>
      </c>
      <c r="L8" s="26" t="s">
        <v>76</v>
      </c>
      <c r="M8" s="26" t="s">
        <v>77</v>
      </c>
      <c r="N8" s="25">
        <v>43655</v>
      </c>
      <c r="O8" s="25" t="s">
        <v>79</v>
      </c>
      <c r="P8" s="26" t="s">
        <v>78</v>
      </c>
      <c r="Q8" s="24">
        <v>8775.01</v>
      </c>
      <c r="R8" s="24">
        <f>Q8-V8</f>
        <v>0</v>
      </c>
      <c r="S8" s="26" t="s">
        <v>80</v>
      </c>
      <c r="T8" s="25">
        <v>43677</v>
      </c>
      <c r="U8" s="26" t="s">
        <v>81</v>
      </c>
      <c r="V8" s="24">
        <v>8775.01</v>
      </c>
      <c r="W8" s="25">
        <v>43696</v>
      </c>
      <c r="X8" s="26"/>
      <c r="Y8" s="72"/>
      <c r="Z8" s="72"/>
      <c r="AA8" s="26"/>
      <c r="AB8" s="24"/>
      <c r="AC8" s="13" t="s">
        <v>64</v>
      </c>
    </row>
    <row r="9" spans="1:33" s="106" customFormat="1" ht="126" customHeight="1" x14ac:dyDescent="0.3">
      <c r="A9" s="812">
        <v>1</v>
      </c>
      <c r="B9" s="815" t="s">
        <v>56</v>
      </c>
      <c r="C9" s="815" t="s">
        <v>328</v>
      </c>
      <c r="D9" s="815" t="s">
        <v>147</v>
      </c>
      <c r="E9" s="815" t="s">
        <v>329</v>
      </c>
      <c r="F9" s="815" t="s">
        <v>181</v>
      </c>
      <c r="G9" s="821">
        <v>1098720</v>
      </c>
      <c r="H9" s="824">
        <f>IF(AD9 = 2, G9 - Q9,0)</f>
        <v>104640</v>
      </c>
      <c r="I9" s="821">
        <v>1</v>
      </c>
      <c r="J9" s="821"/>
      <c r="K9" s="815" t="s">
        <v>162</v>
      </c>
      <c r="L9" s="815" t="s">
        <v>330</v>
      </c>
      <c r="M9" s="815" t="s">
        <v>331</v>
      </c>
      <c r="N9" s="830" t="s">
        <v>332</v>
      </c>
      <c r="O9" s="867">
        <v>2304067057</v>
      </c>
      <c r="P9" s="815" t="s">
        <v>333</v>
      </c>
      <c r="Q9" s="821">
        <v>994080</v>
      </c>
      <c r="R9" s="824">
        <f>IF(AD9 = 2, Q9 + SUM(Y9:Y12) - SUM(Z9:Z12) - SUM(V9:V12) - AB9,0)</f>
        <v>556320</v>
      </c>
      <c r="S9" s="815"/>
      <c r="T9" s="431">
        <v>45813</v>
      </c>
      <c r="U9" s="815" t="s">
        <v>334</v>
      </c>
      <c r="V9" s="425">
        <v>18240</v>
      </c>
      <c r="W9" s="431">
        <v>45818</v>
      </c>
      <c r="X9" s="426"/>
      <c r="Y9" s="425"/>
      <c r="Z9" s="425"/>
      <c r="AA9" s="815"/>
      <c r="AB9" s="821"/>
      <c r="AC9" s="864"/>
      <c r="AD9" s="106">
        <v>2</v>
      </c>
    </row>
    <row r="10" spans="1:33" s="2" customFormat="1" x14ac:dyDescent="0.3">
      <c r="A10" s="813"/>
      <c r="B10" s="816"/>
      <c r="C10" s="816"/>
      <c r="D10" s="816"/>
      <c r="E10" s="816"/>
      <c r="F10" s="816"/>
      <c r="G10" s="822"/>
      <c r="H10" s="825"/>
      <c r="I10" s="822"/>
      <c r="J10" s="822"/>
      <c r="K10" s="816"/>
      <c r="L10" s="816"/>
      <c r="M10" s="816"/>
      <c r="N10" s="831"/>
      <c r="O10" s="868"/>
      <c r="P10" s="816"/>
      <c r="Q10" s="822"/>
      <c r="R10" s="825"/>
      <c r="S10" s="816"/>
      <c r="T10" s="432">
        <v>45842</v>
      </c>
      <c r="U10" s="816"/>
      <c r="V10" s="427">
        <v>136800</v>
      </c>
      <c r="W10" s="432">
        <v>45842</v>
      </c>
      <c r="X10" s="428"/>
      <c r="Y10" s="427"/>
      <c r="Z10" s="427"/>
      <c r="AA10" s="816"/>
      <c r="AB10" s="822"/>
      <c r="AC10" s="865"/>
      <c r="AD10" s="2">
        <v>2</v>
      </c>
    </row>
    <row r="11" spans="1:33" s="2" customFormat="1" x14ac:dyDescent="0.3">
      <c r="A11" s="813"/>
      <c r="B11" s="816"/>
      <c r="C11" s="816"/>
      <c r="D11" s="816"/>
      <c r="E11" s="816"/>
      <c r="F11" s="816"/>
      <c r="G11" s="822"/>
      <c r="H11" s="825"/>
      <c r="I11" s="822"/>
      <c r="J11" s="822"/>
      <c r="K11" s="816"/>
      <c r="L11" s="816"/>
      <c r="M11" s="816"/>
      <c r="N11" s="831"/>
      <c r="O11" s="868"/>
      <c r="P11" s="816"/>
      <c r="Q11" s="822"/>
      <c r="R11" s="825"/>
      <c r="S11" s="816"/>
      <c r="T11" s="432">
        <v>45870</v>
      </c>
      <c r="U11" s="816"/>
      <c r="V11" s="427">
        <v>141360</v>
      </c>
      <c r="W11" s="432">
        <v>45870</v>
      </c>
      <c r="X11" s="428"/>
      <c r="Y11" s="427"/>
      <c r="Z11" s="427"/>
      <c r="AA11" s="816"/>
      <c r="AB11" s="822"/>
      <c r="AC11" s="865"/>
      <c r="AD11" s="2">
        <v>2</v>
      </c>
    </row>
    <row r="12" spans="1:33" s="2" customFormat="1" x14ac:dyDescent="0.3">
      <c r="A12" s="814"/>
      <c r="B12" s="817"/>
      <c r="C12" s="817"/>
      <c r="D12" s="817"/>
      <c r="E12" s="817"/>
      <c r="F12" s="817"/>
      <c r="G12" s="823"/>
      <c r="H12" s="826"/>
      <c r="I12" s="823"/>
      <c r="J12" s="823"/>
      <c r="K12" s="817"/>
      <c r="L12" s="817"/>
      <c r="M12" s="817"/>
      <c r="N12" s="832"/>
      <c r="O12" s="869"/>
      <c r="P12" s="817"/>
      <c r="Q12" s="823"/>
      <c r="R12" s="826"/>
      <c r="S12" s="817"/>
      <c r="T12" s="433">
        <v>45904</v>
      </c>
      <c r="U12" s="817"/>
      <c r="V12" s="429">
        <v>141360</v>
      </c>
      <c r="W12" s="433">
        <v>45904</v>
      </c>
      <c r="X12" s="430"/>
      <c r="Y12" s="429"/>
      <c r="Z12" s="429"/>
      <c r="AA12" s="817"/>
      <c r="AB12" s="823"/>
      <c r="AC12" s="866"/>
      <c r="AD12" s="2">
        <v>2</v>
      </c>
    </row>
    <row r="13" spans="1:33" hidden="1" x14ac:dyDescent="0.3">
      <c r="M13" s="3"/>
      <c r="AD13" s="8">
        <v>3</v>
      </c>
    </row>
    <row r="14" spans="1:33" hidden="1" x14ac:dyDescent="0.3">
      <c r="M14" s="3"/>
    </row>
    <row r="15" spans="1:33" hidden="1" x14ac:dyDescent="0.3">
      <c r="M15" s="3"/>
    </row>
    <row r="16" spans="1:33" hidden="1" x14ac:dyDescent="0.3">
      <c r="M16" s="3"/>
    </row>
    <row r="17" spans="13:13" hidden="1" x14ac:dyDescent="0.3">
      <c r="M17" s="3"/>
    </row>
    <row r="18" spans="13:13" hidden="1" x14ac:dyDescent="0.3">
      <c r="M18" s="3"/>
    </row>
    <row r="19" spans="13:13" hidden="1" x14ac:dyDescent="0.3">
      <c r="M19" s="3"/>
    </row>
    <row r="20" spans="13:13" hidden="1" x14ac:dyDescent="0.3">
      <c r="M20" s="3"/>
    </row>
    <row r="21" spans="13:13" hidden="1" x14ac:dyDescent="0.3">
      <c r="M21" s="3"/>
    </row>
  </sheetData>
  <sheetProtection password="EB34" sheet="1" objects="1" scenarios="1" formatCells="0" formatColumns="0" formatRows="0"/>
  <mergeCells count="28">
    <mergeCell ref="AC9:AC12"/>
    <mergeCell ref="D9:D12"/>
    <mergeCell ref="E9:E12"/>
    <mergeCell ref="F9:F12"/>
    <mergeCell ref="G9:G12"/>
    <mergeCell ref="H9:H12"/>
    <mergeCell ref="I9:I12"/>
    <mergeCell ref="J9:J12"/>
    <mergeCell ref="K9:K12"/>
    <mergeCell ref="L9:L12"/>
    <mergeCell ref="M9:M12"/>
    <mergeCell ref="N9:N12"/>
    <mergeCell ref="O9:O12"/>
    <mergeCell ref="P9:P12"/>
    <mergeCell ref="Q9:Q12"/>
    <mergeCell ref="R9:R12"/>
    <mergeCell ref="P4:R4"/>
    <mergeCell ref="E2:F2"/>
    <mergeCell ref="O2:P2"/>
    <mergeCell ref="Y2:AA2"/>
    <mergeCell ref="T2:U2"/>
    <mergeCell ref="A9:A12"/>
    <mergeCell ref="U9:U12"/>
    <mergeCell ref="AA9:AA12"/>
    <mergeCell ref="B9:B12"/>
    <mergeCell ref="AB9:AB12"/>
    <mergeCell ref="C9:C12"/>
    <mergeCell ref="S9:S1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09375" defaultRowHeight="15.6" x14ac:dyDescent="0.3"/>
  <cols>
    <col min="1" max="1" width="15.33203125" style="52" customWidth="1"/>
    <col min="2" max="2" width="17.44140625" style="50" customWidth="1"/>
    <col min="3" max="3" width="17.33203125" style="50" customWidth="1"/>
    <col min="4" max="4" width="38.88671875" style="50" customWidth="1"/>
    <col min="5" max="5" width="15.5546875" style="50" bestFit="1" customWidth="1"/>
    <col min="6" max="11" width="16.109375" style="50" customWidth="1"/>
    <col min="12" max="16384" width="9.109375" style="50"/>
  </cols>
  <sheetData>
    <row r="1" spans="1:11" x14ac:dyDescent="0.3">
      <c r="A1" s="65">
        <v>68</v>
      </c>
      <c r="B1" s="65">
        <v>33</v>
      </c>
      <c r="C1" s="65">
        <v>9</v>
      </c>
      <c r="D1" s="872" t="s">
        <v>50</v>
      </c>
      <c r="E1" s="48"/>
      <c r="F1" s="80" t="s">
        <v>108</v>
      </c>
      <c r="G1" s="84" t="s">
        <v>108</v>
      </c>
      <c r="H1" s="83" t="s">
        <v>108</v>
      </c>
      <c r="I1" s="82" t="s">
        <v>108</v>
      </c>
      <c r="J1" s="81" t="s">
        <v>108</v>
      </c>
      <c r="K1" s="85" t="s">
        <v>108</v>
      </c>
    </row>
    <row r="2" spans="1:11" x14ac:dyDescent="0.3">
      <c r="A2" s="66" t="s">
        <v>84</v>
      </c>
      <c r="B2" s="65" t="s">
        <v>85</v>
      </c>
      <c r="C2" s="65" t="s">
        <v>86</v>
      </c>
      <c r="D2" s="873"/>
      <c r="E2" s="48"/>
      <c r="F2" s="80">
        <v>69</v>
      </c>
      <c r="G2" s="84">
        <v>71</v>
      </c>
      <c r="H2" s="83">
        <v>2</v>
      </c>
      <c r="I2" s="82">
        <v>2</v>
      </c>
      <c r="J2" s="81">
        <v>1</v>
      </c>
      <c r="K2" s="85">
        <v>2</v>
      </c>
    </row>
    <row r="3" spans="1:11" x14ac:dyDescent="0.3">
      <c r="A3" s="51"/>
      <c r="B3" s="47"/>
      <c r="C3" s="47"/>
      <c r="D3" s="47"/>
      <c r="E3" s="48"/>
      <c r="F3" s="80" t="s">
        <v>109</v>
      </c>
      <c r="G3" s="84" t="s">
        <v>109</v>
      </c>
      <c r="H3" s="83" t="s">
        <v>109</v>
      </c>
      <c r="I3" s="82" t="s">
        <v>109</v>
      </c>
      <c r="J3" s="81" t="s">
        <v>109</v>
      </c>
      <c r="K3" s="85" t="s">
        <v>109</v>
      </c>
    </row>
    <row r="4" spans="1:11" x14ac:dyDescent="0.3">
      <c r="A4" s="61">
        <v>196</v>
      </c>
      <c r="B4" s="62">
        <v>52</v>
      </c>
      <c r="C4" s="62">
        <v>9</v>
      </c>
      <c r="D4" s="874" t="s">
        <v>102</v>
      </c>
      <c r="E4" s="48"/>
      <c r="F4" s="80">
        <v>70</v>
      </c>
      <c r="G4" s="84">
        <v>72</v>
      </c>
      <c r="H4" s="83">
        <v>3</v>
      </c>
      <c r="I4" s="82">
        <v>3</v>
      </c>
      <c r="J4" s="81">
        <v>2</v>
      </c>
      <c r="K4" s="85">
        <v>3</v>
      </c>
    </row>
    <row r="5" spans="1:11" x14ac:dyDescent="0.3">
      <c r="A5" s="61" t="s">
        <v>89</v>
      </c>
      <c r="B5" s="62" t="s">
        <v>88</v>
      </c>
      <c r="C5" s="62" t="s">
        <v>87</v>
      </c>
      <c r="D5" s="875"/>
      <c r="E5" s="48"/>
      <c r="F5" s="48"/>
      <c r="G5" s="48"/>
      <c r="H5" s="49"/>
      <c r="I5" s="49"/>
      <c r="J5" s="49"/>
    </row>
    <row r="6" spans="1:11" x14ac:dyDescent="0.3">
      <c r="A6" s="51"/>
      <c r="B6" s="47"/>
      <c r="C6" s="47"/>
      <c r="D6" s="47"/>
      <c r="E6" s="48"/>
      <c r="F6" s="48"/>
      <c r="G6" s="48"/>
      <c r="H6" s="49"/>
      <c r="I6" s="49"/>
      <c r="J6" s="49"/>
    </row>
    <row r="7" spans="1:11" x14ac:dyDescent="0.3">
      <c r="A7" s="63">
        <v>14</v>
      </c>
      <c r="B7" s="64">
        <v>2</v>
      </c>
      <c r="C7" s="64">
        <v>9</v>
      </c>
      <c r="D7" s="876" t="s">
        <v>52</v>
      </c>
      <c r="E7" s="48"/>
      <c r="F7" s="48"/>
      <c r="G7" s="48"/>
      <c r="H7" s="49"/>
      <c r="I7" s="49"/>
      <c r="J7" s="49"/>
    </row>
    <row r="8" spans="1:11" x14ac:dyDescent="0.3">
      <c r="A8" s="63" t="s">
        <v>90</v>
      </c>
      <c r="B8" s="64" t="s">
        <v>91</v>
      </c>
      <c r="C8" s="64" t="s">
        <v>92</v>
      </c>
      <c r="D8" s="877"/>
      <c r="E8" s="48"/>
      <c r="F8" s="48"/>
      <c r="G8" s="48"/>
      <c r="H8" s="49"/>
      <c r="I8" s="49"/>
      <c r="J8" s="49"/>
    </row>
    <row r="9" spans="1:11" x14ac:dyDescent="0.3">
      <c r="A9" s="51"/>
      <c r="B9" s="47"/>
      <c r="C9" s="47"/>
      <c r="D9" s="47"/>
      <c r="E9" s="47"/>
      <c r="F9" s="47"/>
      <c r="G9" s="47"/>
    </row>
    <row r="10" spans="1:11" x14ac:dyDescent="0.3">
      <c r="A10" s="59">
        <v>16</v>
      </c>
      <c r="B10" s="60">
        <v>2</v>
      </c>
      <c r="C10" s="60">
        <v>9</v>
      </c>
      <c r="D10" s="878" t="s">
        <v>31</v>
      </c>
      <c r="E10" s="47"/>
      <c r="F10" s="47"/>
      <c r="G10" s="47"/>
    </row>
    <row r="11" spans="1:11" x14ac:dyDescent="0.3">
      <c r="A11" s="59" t="s">
        <v>93</v>
      </c>
      <c r="B11" s="60" t="s">
        <v>94</v>
      </c>
      <c r="C11" s="60" t="s">
        <v>95</v>
      </c>
      <c r="D11" s="879"/>
      <c r="E11" s="47"/>
      <c r="F11" s="47"/>
      <c r="G11" s="47"/>
    </row>
    <row r="12" spans="1:11" x14ac:dyDescent="0.3">
      <c r="A12" s="51"/>
      <c r="B12" s="47"/>
      <c r="C12" s="47"/>
      <c r="D12" s="47"/>
      <c r="E12" s="47"/>
      <c r="F12" s="47"/>
      <c r="G12" s="47"/>
    </row>
    <row r="13" spans="1:11" x14ac:dyDescent="0.3">
      <c r="A13" s="57">
        <v>41</v>
      </c>
      <c r="B13" s="58">
        <v>1</v>
      </c>
      <c r="C13" s="58">
        <v>9</v>
      </c>
      <c r="D13" s="880" t="s">
        <v>49</v>
      </c>
      <c r="E13" s="47"/>
      <c r="F13" s="47"/>
      <c r="G13" s="47"/>
    </row>
    <row r="14" spans="1:11" x14ac:dyDescent="0.3">
      <c r="A14" s="57" t="s">
        <v>96</v>
      </c>
      <c r="B14" s="58" t="s">
        <v>97</v>
      </c>
      <c r="C14" s="58" t="s">
        <v>98</v>
      </c>
      <c r="D14" s="881"/>
      <c r="E14" s="47"/>
      <c r="F14" s="47"/>
      <c r="G14" s="47"/>
    </row>
    <row r="15" spans="1:11" x14ac:dyDescent="0.3">
      <c r="A15" s="51"/>
      <c r="B15" s="47"/>
      <c r="C15" s="47"/>
      <c r="D15" s="47"/>
      <c r="E15" s="47"/>
      <c r="F15" s="47"/>
      <c r="G15" s="47"/>
    </row>
    <row r="16" spans="1:11" x14ac:dyDescent="0.3">
      <c r="A16" s="55">
        <v>12</v>
      </c>
      <c r="B16" s="56">
        <v>1</v>
      </c>
      <c r="C16" s="56">
        <v>9</v>
      </c>
      <c r="D16" s="870" t="s">
        <v>83</v>
      </c>
      <c r="E16" s="47"/>
      <c r="F16" s="47"/>
      <c r="G16" s="47"/>
    </row>
    <row r="17" spans="1:4" x14ac:dyDescent="0.3">
      <c r="A17" s="55" t="s">
        <v>99</v>
      </c>
      <c r="B17" s="56" t="s">
        <v>100</v>
      </c>
      <c r="C17" s="56" t="s">
        <v>101</v>
      </c>
      <c r="D17" s="871"/>
    </row>
    <row r="18" spans="1:4" x14ac:dyDescent="0.3">
      <c r="A18" s="51"/>
    </row>
    <row r="19" spans="1:4" x14ac:dyDescent="0.3">
      <c r="A19" s="51"/>
    </row>
    <row r="20" spans="1:4" x14ac:dyDescent="0.3">
      <c r="A20" s="51"/>
    </row>
    <row r="21" spans="1:4" x14ac:dyDescent="0.3">
      <c r="A21" s="51"/>
    </row>
    <row r="22" spans="1:4" x14ac:dyDescent="0.3">
      <c r="A22" s="51"/>
    </row>
    <row r="23" spans="1:4" x14ac:dyDescent="0.3">
      <c r="A23" s="51"/>
    </row>
    <row r="24" spans="1:4" x14ac:dyDescent="0.3">
      <c r="A24" s="51"/>
    </row>
    <row r="25" spans="1:4" x14ac:dyDescent="0.3">
      <c r="A25" s="51"/>
    </row>
    <row r="26" spans="1:4" x14ac:dyDescent="0.3">
      <c r="A26" s="51"/>
    </row>
    <row r="27" spans="1:4" x14ac:dyDescent="0.3">
      <c r="A27" s="51"/>
    </row>
    <row r="28" spans="1:4" x14ac:dyDescent="0.3">
      <c r="A28" s="51"/>
    </row>
    <row r="29" spans="1:4" x14ac:dyDescent="0.3">
      <c r="A29" s="51"/>
    </row>
    <row r="30" spans="1:4" x14ac:dyDescent="0.3">
      <c r="A30" s="51"/>
    </row>
    <row r="31" spans="1:4" x14ac:dyDescent="0.3">
      <c r="A31" s="51"/>
    </row>
    <row r="32" spans="1:4" x14ac:dyDescent="0.3">
      <c r="A32" s="51"/>
    </row>
    <row r="33" spans="1:1" x14ac:dyDescent="0.3">
      <c r="A33" s="51"/>
    </row>
    <row r="34" spans="1:1" x14ac:dyDescent="0.3">
      <c r="A34" s="51"/>
    </row>
    <row r="35" spans="1:1" x14ac:dyDescent="0.3">
      <c r="A35" s="51"/>
    </row>
    <row r="36" spans="1:1" x14ac:dyDescent="0.3">
      <c r="A36" s="51"/>
    </row>
    <row r="37" spans="1:1" x14ac:dyDescent="0.3">
      <c r="A37" s="51"/>
    </row>
    <row r="38" spans="1:1" x14ac:dyDescent="0.3">
      <c r="A38" s="51"/>
    </row>
    <row r="39" spans="1:1" x14ac:dyDescent="0.3">
      <c r="A39" s="51"/>
    </row>
    <row r="40" spans="1:1" x14ac:dyDescent="0.3">
      <c r="A40" s="51"/>
    </row>
    <row r="41" spans="1:1" x14ac:dyDescent="0.3">
      <c r="A41" s="51"/>
    </row>
    <row r="42" spans="1:1" x14ac:dyDescent="0.3">
      <c r="A42" s="51"/>
    </row>
    <row r="43" spans="1:1" x14ac:dyDescent="0.3">
      <c r="A43" s="51"/>
    </row>
    <row r="44" spans="1:1" x14ac:dyDescent="0.3">
      <c r="A44" s="51"/>
    </row>
    <row r="45" spans="1:1" x14ac:dyDescent="0.3">
      <c r="A45" s="51"/>
    </row>
    <row r="81" spans="1:1" x14ac:dyDescent="0.3">
      <c r="A81" s="53"/>
    </row>
    <row r="82" spans="1:1" x14ac:dyDescent="0.3">
      <c r="A82" s="53"/>
    </row>
    <row r="83" spans="1:1" x14ac:dyDescent="0.3">
      <c r="A83" s="54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Владелец</cp:lastModifiedBy>
  <cp:lastPrinted>2025-10-07T08:32:07Z</cp:lastPrinted>
  <dcterms:created xsi:type="dcterms:W3CDTF">2017-01-25T04:28:39Z</dcterms:created>
  <dcterms:modified xsi:type="dcterms:W3CDTF">2025-10-07T08:33:35Z</dcterms:modified>
</cp:coreProperties>
</file>