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workbookProtection workbookPassword="EB34" lockStructure="1"/>
  <bookViews>
    <workbookView xWindow="0" yWindow="0" windowWidth="23040" windowHeight="8616" tabRatio="603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62913"/>
</workbook>
</file>

<file path=xl/calcChain.xml><?xml version="1.0" encoding="utf-8"?>
<calcChain xmlns="http://schemas.openxmlformats.org/spreadsheetml/2006/main">
  <c r="H2" i="31" l="1"/>
  <c r="P2" i="31"/>
  <c r="V2" i="31"/>
  <c r="H2" i="27"/>
  <c r="P2" i="27"/>
  <c r="V2" i="27"/>
  <c r="I10" i="31" l="1"/>
  <c r="G2" i="19"/>
  <c r="N2" i="19"/>
  <c r="T2" i="19"/>
  <c r="I9" i="27"/>
  <c r="I37" i="31"/>
  <c r="I30" i="31"/>
  <c r="H9" i="22"/>
  <c r="R9" i="22"/>
  <c r="G2" i="22"/>
  <c r="Q2" i="22"/>
  <c r="V2" i="22"/>
  <c r="AB2" i="22"/>
  <c r="G2" i="17"/>
  <c r="Q2" i="17"/>
  <c r="V2" i="17"/>
  <c r="AB2" i="17"/>
  <c r="I40" i="31"/>
  <c r="H9" i="17" l="1"/>
  <c r="R9" i="17"/>
  <c r="I12" i="31"/>
  <c r="I46" i="31" l="1"/>
  <c r="I20" i="27"/>
  <c r="I19" i="27"/>
  <c r="I18" i="27"/>
  <c r="I17" i="27"/>
  <c r="G2" i="20" l="1"/>
  <c r="Q2" i="20"/>
  <c r="V2" i="20"/>
  <c r="AB2" i="20"/>
  <c r="I45" i="31" l="1"/>
  <c r="I16" i="27"/>
  <c r="I15" i="27"/>
  <c r="I14" i="27"/>
  <c r="I13" i="27"/>
  <c r="I12" i="27"/>
  <c r="I43" i="31"/>
  <c r="I28" i="31"/>
  <c r="I27" i="31"/>
  <c r="I11" i="27"/>
  <c r="I22" i="31"/>
  <c r="I17" i="31"/>
  <c r="I16" i="31" l="1"/>
  <c r="I9" i="31"/>
  <c r="H9" i="19" l="1"/>
  <c r="D13" i="21" l="1"/>
  <c r="R8" i="20" l="1"/>
  <c r="H8" i="20"/>
  <c r="R8" i="22"/>
  <c r="H8" i="22"/>
  <c r="I8" i="27" l="1"/>
  <c r="J9" i="21" l="1"/>
  <c r="J13" i="21"/>
  <c r="G13" i="21" l="1"/>
  <c r="M5" i="21" s="1"/>
  <c r="J14" i="21"/>
  <c r="D14" i="21"/>
  <c r="D12" i="21"/>
  <c r="J12" i="21"/>
  <c r="D19" i="21"/>
  <c r="G14" i="21" l="1"/>
  <c r="M14" i="21" s="1"/>
  <c r="G12" i="21"/>
  <c r="M13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<sst xmlns="http://schemas.openxmlformats.org/spreadsheetml/2006/main" count="653" uniqueCount="229">
  <si>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</si>
  <si>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</si>
  <si>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</si>
  <si>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</si>
  <si>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</si>
  <si>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</si>
  <si>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</si>
  <si>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</si>
  <si>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</si>
  <si>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</si>
  <si>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</si>
  <si>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</si>
  <si>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</si>
  <si>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</si>
  <si>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</si>
  <si>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</si>
  <si>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</si>
  <si>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</si>
  <si>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</si>
  <si>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</si>
  <si>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</si>
  <si>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</si>
  <si>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</si>
  <si>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</si>
  <si>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</si>
  <si>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</si>
  <si>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</si>
  <si>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</si>
  <si>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</si>
  <si>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</si>
  <si>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</si>
  <si>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</si>
  <si>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</si>
  <si>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</si>
  <si>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</si>
  <si>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</si>
  <si>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</si>
  <si>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</si>
  <si>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</si>
  <si>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</si>
  <si>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</si>
  <si>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</si>
  <si>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</si>
  <si>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</si>
  <si>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</si>
  <si>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</si>
  <si>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</si>
  <si>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</si>
  <si>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</si>
  <si>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</si>
  <si>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</si>
  <si>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</si>
  <si>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</si>
  <si>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</si>
  <si>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</si>
  <si>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</si>
  <si>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</si>
  <si>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</si>
  <si>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</si>
  <si>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</si>
  <si>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</si>
  <si>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</si>
  <si>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</si>
  <si>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</si>
  <si>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</si>
  <si>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</si>
  <si>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</si>
  <si>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</si>
  <si>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</si>
  <si>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</si>
  <si>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</si>
  <si>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</si>
  <si>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</si>
  <si>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</si>
  <si>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</si>
  <si>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</si>
  <si>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</si>
  <si>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</si>
  <si>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</si>
  <si>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</si>
  <si>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</si>
  <si>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</si>
  <si>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</si>
  <si>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</si>
  <si>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</si>
  <si>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</si>
  <si>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</si>
  <si>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</si>
  <si>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</si>
  <si>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</si>
  <si>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</si>
  <si>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</si>
  <si>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</si>
  <si>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</si>
  <si>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</si>
  <si>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</si>
  <si>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</si>
  <si>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</si>
  <si>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</si>
  <si>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</si>
  <si>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</si>
  <si>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</si>
  <si>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</si>
  <si>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</si>
  <si>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</si>
  <si>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</si>
  <si>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</si>
  <si>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</si>
  <si>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</si>
  <si>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</si>
  <si>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</si>
  <si>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</si>
  <si>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</si>
  <si>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</si>
  <si>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</si>
  <si>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</si>
  <si>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</si>
  <si>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</si>
  <si>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</si>
  <si>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</si>
  <si>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</si>
  <si>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</si>
  <si>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</si>
  <si>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</si>
  <si>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</si>
  <si>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</si>
  <si>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</si>
  <si>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</si>
  <si>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</si>
  <si>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</si>
  <si>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</si>
  <si>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</si>
  <si>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</si>
  <si>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</si>
  <si>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</si>
  <si>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</si>
  <si>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</si>
  <si>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</si>
  <si>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</si>
  <si>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</si>
  <si>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</si>
  <si>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</si>
  <si>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</si>
  <si>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</si>
  <si>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</si>
  <si>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</si>
  <si>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нет</t>
  </si>
  <si>
    <t>925 0000 0000000000 244</t>
  </si>
  <si>
    <t>Оказание услуг по обращению с твердыми коммунальными отходами</t>
  </si>
  <si>
    <t>ПАО "ТНС энерго Кубань"</t>
  </si>
  <si>
    <t>ООО "Коммунальник"</t>
  </si>
  <si>
    <t>до 25 числа</t>
  </si>
  <si>
    <t>1401</t>
  </si>
  <si>
    <t>Поставка тепловой энергии</t>
  </si>
  <si>
    <t>АО "АТЭК"</t>
  </si>
  <si>
    <t>Согласно графика</t>
  </si>
  <si>
    <t>ООО "Тимашевское ПРТ Райпо"</t>
  </si>
  <si>
    <t>ООО "КАНкорт"</t>
  </si>
  <si>
    <t>ИП Дудкин</t>
  </si>
  <si>
    <t>235305769122</t>
  </si>
  <si>
    <t>ИП Барма</t>
  </si>
  <si>
    <t>ПАО "Ростелеком"</t>
  </si>
  <si>
    <t>МБОУ СОШ №6</t>
  </si>
  <si>
    <t>АО "Мусороуборочная компания"</t>
  </si>
  <si>
    <t>да</t>
  </si>
  <si>
    <t>Поставка бензина Аи-92</t>
  </si>
  <si>
    <t>В течение 7 рабочих дней с момента подписания Заказчиком и Подрядчиком акта приема-сдачи и предоставленного Подрядчиком документа на оплату</t>
  </si>
  <si>
    <t>Холодное водоснабжение</t>
  </si>
  <si>
    <t>До 25 числа каждого месяца</t>
  </si>
  <si>
    <t>Электроэнергия</t>
  </si>
  <si>
    <t>30 % до 10 числа, 40 % до 25 числа</t>
  </si>
  <si>
    <t>До 10 числа месяца, следующего за отчетным</t>
  </si>
  <si>
    <t>925 0000 0000000000 247</t>
  </si>
  <si>
    <t>23070500203</t>
  </si>
  <si>
    <t>20456/ТМ</t>
  </si>
  <si>
    <t>Централизованная охрана объекта (ктс)</t>
  </si>
  <si>
    <t>2310163739</t>
  </si>
  <si>
    <t>ФГКУ "УВО ВНГ России по Краснодарскому краю" ОВО по Тимашевскому району</t>
  </si>
  <si>
    <t>925 0000 0000000000244</t>
  </si>
  <si>
    <t>925  0000 0000000000 244</t>
  </si>
  <si>
    <t>Оказание услуг связи</t>
  </si>
  <si>
    <t>7707049388</t>
  </si>
  <si>
    <t>поставка товара</t>
  </si>
  <si>
    <t>23 32353014097235301001 0016 001 5629 244</t>
  </si>
  <si>
    <t>0818300019923000370</t>
  </si>
  <si>
    <t>Оказание услуг питания детей</t>
  </si>
  <si>
    <t>32353014097 23 000006</t>
  </si>
  <si>
    <t>2353020735</t>
  </si>
  <si>
    <t>ООО "Тимашевское ПРТ райпо"</t>
  </si>
  <si>
    <t>23 32353014097235301001 0017 002 8010 244</t>
  </si>
  <si>
    <t>0818300019923000374</t>
  </si>
  <si>
    <t>Услуги частной охраны (Выставление поста охраны)</t>
  </si>
  <si>
    <t>3235301409723000007</t>
  </si>
  <si>
    <t>Общество с ограниченной ответственностью Частная охранная организация "Легион"</t>
  </si>
  <si>
    <t>ООО "КТК"</t>
  </si>
  <si>
    <t>В течение 10 рабочих дней с момента подписания Заказчиком и Подрядчиком акта приема-сдачи и предоставленного Подрядчиком документа на оплату</t>
  </si>
  <si>
    <t>ДГ24/68</t>
  </si>
  <si>
    <t>сопровождение системы ГЛОНАСС</t>
  </si>
  <si>
    <t>сервисное обслуживание теплосчетчиков</t>
  </si>
  <si>
    <t>то систем АПС</t>
  </si>
  <si>
    <t>ИП Даценко</t>
  </si>
  <si>
    <t>Стрелец-мониторинг</t>
  </si>
  <si>
    <t>оказание услуг по организации питания инвалидов, ОВЗ</t>
  </si>
  <si>
    <t>оказание услуг по организации питания 9/10,40</t>
  </si>
  <si>
    <t>33/24</t>
  </si>
  <si>
    <t>Предоставление охраняемой автостоянки, предрейсовому и послерейсовому то автотранспортв и медицинскому освидетельствованию водителей.</t>
  </si>
  <si>
    <t>оказание услуг по организации горячегопитания СВО</t>
  </si>
  <si>
    <t>23-01/2024-1</t>
  </si>
  <si>
    <t>ремонт автобуса</t>
  </si>
  <si>
    <t>235303782209</t>
  </si>
  <si>
    <t>ИП Пастухов</t>
  </si>
  <si>
    <t>шиномонтаж</t>
  </si>
  <si>
    <t>25-01/2024</t>
  </si>
  <si>
    <t>заправка картриджа и ремонт оргтехники</t>
  </si>
  <si>
    <t>231107998282</t>
  </si>
  <si>
    <t>23303348389</t>
  </si>
  <si>
    <t>ИП Тарануха</t>
  </si>
  <si>
    <t>Ремонт автобуса</t>
  </si>
  <si>
    <t>Образовательные услуги</t>
  </si>
  <si>
    <t>2310980339</t>
  </si>
  <si>
    <t>НЧОУ ДПО "Учебный центр "Персонал-Ресурс"</t>
  </si>
  <si>
    <t>925 0000 00000000000 244</t>
  </si>
  <si>
    <t>2024.065486</t>
  </si>
  <si>
    <t>ДГ24/238</t>
  </si>
  <si>
    <t>техническое сопровождение транспортного средства</t>
  </si>
  <si>
    <t>2369000660</t>
  </si>
  <si>
    <t>915 0000 0000000000 244</t>
  </si>
  <si>
    <t>Поставка бензина АИ-92</t>
  </si>
  <si>
    <t>ООО "Альянс Розница"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</si>
</sst>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4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>
      <alignment horizontal="center" vertical="center" wrapText="1"/>
    </xf>
    <xf numFmtId="49" fontId="1" fillId="18" borderId="39" xfId="0" applyNumberFormat="1" applyFont="1" applyFill="1" applyBorder="1" applyAlignment="1">
      <alignment horizontal="center" vertical="center" wrapText="1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>
      <alignment horizontal="center" vertical="center" wrapText="1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0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>
      <alignment horizontal="center" vertical="center" wrapText="1"/>
    </xf>
    <xf numFmtId="4" fontId="1" fillId="18" borderId="50" xfId="0" applyNumberFormat="1" applyFont="1" applyFill="1" applyBorder="1" applyAlignment="1">
      <alignment horizontal="center" vertical="center" wrapText="1"/>
    </xf>
    <xf numFmtId="49" fontId="1" fillId="18" borderId="49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168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1" xfId="0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>
      <alignment horizontal="center" vertical="center" wrapText="1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>
      <alignment horizontal="center" vertical="center" wrapText="1"/>
    </xf>
    <xf numFmtId="16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7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8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>
      <alignment horizontal="center" vertical="center" wrapText="1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>
      <alignment horizontal="center" vertical="center" wrapText="1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4" fontId="1" fillId="18" borderId="41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>
      <alignment horizontal="center" vertical="center" wrapText="1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>
      <alignment horizontal="center" vertical="center" wrapText="1"/>
    </xf>
    <xf numFmtId="49" fontId="1" fillId="18" borderId="46" xfId="0" applyNumberFormat="1" applyFont="1" applyFill="1" applyBorder="1" applyAlignment="1">
      <alignment horizontal="center" vertical="center" wrapText="1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>
      <alignment horizontal="center" vertical="center" wrapText="1"/>
    </xf>
    <xf numFmtId="4" fontId="1" fillId="18" borderId="47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vertical="center"/>
      <protection locked="0"/>
    </xf>
    <xf numFmtId="0" fontId="16" fillId="0" borderId="47" xfId="0" applyFont="1" applyBorder="1" applyAlignment="1" applyProtection="1">
      <alignment vertical="center"/>
      <protection locked="0"/>
    </xf>
    <xf numFmtId="0" fontId="17" fillId="4" borderId="44" xfId="0" applyFont="1" applyFill="1" applyBorder="1" applyAlignment="1" applyProtection="1">
      <alignment vertical="center" wrapText="1"/>
      <protection locked="0"/>
    </xf>
    <xf numFmtId="0" fontId="17" fillId="4" borderId="47" xfId="0" applyFont="1" applyFill="1" applyBorder="1" applyAlignment="1" applyProtection="1">
      <alignment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0" fontId="1" fillId="18" borderId="60" xfId="0" applyFont="1" applyFill="1" applyBorder="1" applyAlignment="1" applyProtection="1">
      <alignment horizontal="center" vertical="center" wrapText="1"/>
      <protection locked="0"/>
    </xf>
    <xf numFmtId="0" fontId="1" fillId="18" borderId="57" xfId="0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" fontId="1" fillId="18" borderId="59" xfId="0" applyNumberFormat="1" applyFont="1" applyFill="1" applyBorder="1" applyAlignment="1">
      <alignment horizontal="center" vertical="center" wrapText="1"/>
    </xf>
    <xf numFmtId="4" fontId="1" fillId="18" borderId="56" xfId="0" applyNumberFormat="1" applyFont="1" applyFill="1" applyBorder="1" applyAlignment="1">
      <alignment horizontal="center" vertical="center" wrapText="1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>
      <alignment horizontal="center" vertical="center" wrapText="1"/>
    </xf>
    <xf numFmtId="49" fontId="1" fillId="18" borderId="58" xfId="0" applyNumberFormat="1" applyFont="1" applyFill="1" applyBorder="1" applyAlignment="1">
      <alignment horizontal="center" vertical="center" wrapText="1"/>
    </xf>
    <xf numFmtId="49" fontId="1" fillId="18" borderId="5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/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3</xdr:row>
      <xdr:rowOff>504000</xdr:rowOff>
    </xdr:to>
    <xdr:sp macro="[0]!УдалитьСтрокуП4" textlink="">
      <xdr:nvSpPr>
        <xdr:cNvPr id="5" name="Скругленный прямоугольник 4"/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4</xdr:row>
      <xdr:rowOff>657</xdr:rowOff>
    </xdr:to>
    <xdr:sp macro="[0]!УдалитьСтрокуП5" textlink="">
      <xdr:nvSpPr>
        <xdr:cNvPr id="3" name="Скругленный прямоугольник 2"/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/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4</xdr:row>
      <xdr:rowOff>792</xdr:rowOff>
    </xdr:to>
    <xdr:sp macro="[0]!ДобавитьППАктП5" textlink="">
      <xdr:nvSpPr>
        <xdr:cNvPr id="5" name="Скругленный прямоугольник 4"/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/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/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/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/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/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/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4</xdr:row>
      <xdr:rowOff>1080</xdr:rowOff>
    </xdr:to>
    <xdr:sp macro="[0]!ДобавитьКонтрактNEA" textlink="">
      <xdr:nvSpPr>
        <xdr:cNvPr id="2" name="Скругленный прямоугольник 1"/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4</xdr:row>
      <xdr:rowOff>1080</xdr:rowOff>
    </xdr:to>
    <xdr:sp macro="[0]!УдалитьСтрокуNEA" textlink="">
      <xdr:nvSpPr>
        <xdr:cNvPr id="5" name="Скругленный прямоугольник 4"/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/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/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16</xdr:col>
      <xdr:colOff>64050</xdr:colOff>
      <xdr:row>4</xdr:row>
      <xdr:rowOff>0</xdr:rowOff>
    </xdr:to>
    <xdr:sp macro="[0]!УдалитьСтрокуIKZ" textlink="">
      <xdr:nvSpPr>
        <xdr:cNvPr id="3" name="Скругленный прямоугольник 2"/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1136100</xdr:colOff>
      <xdr:row>3</xdr:row>
      <xdr:rowOff>10350</xdr:rowOff>
    </xdr:from>
    <xdr:to>
      <xdr:col>22</xdr:col>
      <xdr:colOff>1219200</xdr:colOff>
      <xdr:row>4</xdr:row>
      <xdr:rowOff>0</xdr:rowOff>
    </xdr:to>
    <xdr:sp macro="[0]!ДобавитьППАктIKZ" textlink="">
      <xdr:nvSpPr>
        <xdr:cNvPr id="4" name="Скругленный прямоугольник 3"/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abSelected="1" zoomScale="70" zoomScaleNormal="70" workbookViewId="0">
      <selection activeCell="M4" sqref="M4:N4"/>
    </sheetView>
  </sheetViews>
  <sheetFormatPr defaultColWidth="0" defaultRowHeight="14.4" x14ac:dyDescent="0.3"/>
  <cols>
    <col min="1" max="2" width="9.109375" style="9" customWidth="1"/>
    <col min="3" max="3" width="25.33203125" style="9" customWidth="1"/>
    <col min="4" max="5" width="9.109375" style="9" customWidth="1"/>
    <col min="6" max="6" width="11.6640625" style="9" customWidth="1"/>
    <col min="7" max="7" width="19" style="9" customWidth="1"/>
    <col min="8" max="8" width="6.5546875" style="9" customWidth="1"/>
    <col min="9" max="9" width="5.5546875" style="9" customWidth="1"/>
    <col min="10" max="10" width="15" style="9" customWidth="1"/>
    <col min="11" max="11" width="14.88671875" style="9" customWidth="1"/>
    <col min="12" max="12" width="21.33203125" style="9" customWidth="1"/>
    <col min="13" max="13" width="10.109375" style="9" customWidth="1"/>
    <col min="14" max="14" width="17.109375" style="9" bestFit="1" customWidth="1"/>
    <col min="15" max="22" width="9.109375" style="9" hidden="1" customWidth="1"/>
    <col min="23" max="23" width="30.6640625" style="9" hidden="1" customWidth="1"/>
    <col min="24" max="16384" width="9.109375" style="9" hidden="1"/>
  </cols>
  <sheetData>
    <row r="1" spans="1:14" ht="27" customHeight="1" thickBot="1" x14ac:dyDescent="0.35">
      <c r="A1" s="246" t="s">
        <v>141</v>
      </c>
      <c r="B1" s="247"/>
      <c r="C1" s="247"/>
      <c r="D1" s="247"/>
      <c r="E1" s="246" t="s">
        <v>162</v>
      </c>
      <c r="F1" s="247"/>
      <c r="G1" s="247"/>
      <c r="H1" s="247"/>
      <c r="I1" s="247"/>
      <c r="J1" s="247"/>
      <c r="K1" s="247"/>
      <c r="L1" s="247"/>
      <c r="M1" s="247"/>
      <c r="N1" s="248"/>
    </row>
    <row r="3" spans="1:14" ht="15" thickBot="1" x14ac:dyDescent="0.35">
      <c r="I3" s="21"/>
      <c r="J3" s="21"/>
      <c r="K3" s="21"/>
      <c r="L3" s="21"/>
      <c r="M3" s="21"/>
      <c r="N3" s="21"/>
    </row>
    <row r="4" spans="1:14" ht="32.25" customHeight="1" thickBot="1" x14ac:dyDescent="0.35">
      <c r="A4" s="222" t="s">
        <v>25</v>
      </c>
      <c r="B4" s="223"/>
      <c r="C4" s="4">
        <v>9710806.8399999999</v>
      </c>
      <c r="D4" s="5"/>
      <c r="E4" s="224" t="s">
        <v>140</v>
      </c>
      <c r="F4" s="225"/>
      <c r="G4" s="226"/>
      <c r="H4" s="227">
        <v>1957036.61</v>
      </c>
      <c r="I4" s="228"/>
      <c r="J4" s="229"/>
      <c r="K4" s="22"/>
      <c r="L4" s="99" t="s">
        <v>55</v>
      </c>
      <c r="M4" s="224">
        <v>3892789.68</v>
      </c>
      <c r="N4" s="226"/>
    </row>
    <row r="5" spans="1:14" ht="30.75" customHeight="1" thickBot="1" x14ac:dyDescent="0.35">
      <c r="A5" s="222" t="s">
        <v>26</v>
      </c>
      <c r="B5" s="223"/>
      <c r="C5" s="6">
        <f>C4-G15+J15</f>
        <v>5463047.8300000001</v>
      </c>
      <c r="D5" s="5"/>
      <c r="E5" s="224" t="s">
        <v>53</v>
      </c>
      <c r="F5" s="225"/>
      <c r="G5" s="226"/>
      <c r="H5" s="214">
        <f>H4-G12</f>
        <v>1844448.34</v>
      </c>
      <c r="I5" s="215"/>
      <c r="J5" s="216"/>
      <c r="K5" s="22"/>
      <c r="L5" s="99" t="s">
        <v>54</v>
      </c>
      <c r="M5" s="217">
        <f>M4-G13</f>
        <v>2018638.6300000001</v>
      </c>
      <c r="N5" s="218"/>
    </row>
    <row r="6" spans="1:14" x14ac:dyDescent="0.3">
      <c r="C6" s="7"/>
      <c r="D6" s="10"/>
      <c r="E6" s="10"/>
      <c r="F6" s="10"/>
      <c r="G6" s="10"/>
      <c r="H6" s="10"/>
      <c r="I6" s="10"/>
      <c r="J6" s="10"/>
      <c r="K6" s="10"/>
      <c r="L6" s="10"/>
    </row>
    <row r="7" spans="1:14" ht="15" thickBot="1" x14ac:dyDescent="0.35"/>
    <row r="8" spans="1:14" ht="72" customHeight="1" thickBot="1" x14ac:dyDescent="0.35">
      <c r="A8" s="230" t="s">
        <v>27</v>
      </c>
      <c r="B8" s="231"/>
      <c r="C8" s="232"/>
      <c r="D8" s="230" t="s">
        <v>28</v>
      </c>
      <c r="E8" s="231"/>
      <c r="F8" s="232"/>
      <c r="G8" s="233" t="s">
        <v>29</v>
      </c>
      <c r="H8" s="234"/>
      <c r="I8" s="235"/>
      <c r="J8" s="233" t="s">
        <v>142</v>
      </c>
      <c r="K8" s="234"/>
      <c r="L8" s="235"/>
      <c r="M8" s="230" t="s">
        <v>30</v>
      </c>
      <c r="N8" s="232"/>
    </row>
    <row r="9" spans="1:14" ht="41.25" customHeight="1" thickBot="1" x14ac:dyDescent="0.35">
      <c r="A9" s="236" t="s">
        <v>31</v>
      </c>
      <c r="B9" s="237"/>
      <c r="C9" s="238"/>
      <c r="D9" s="239">
        <f>'Состоявшиеся аукционы'!G2</f>
        <v>740465.76</v>
      </c>
      <c r="E9" s="239"/>
      <c r="F9" s="239"/>
      <c r="G9" s="239">
        <f>'Состоявшиеся аукционы'!Q2</f>
        <v>392446.84</v>
      </c>
      <c r="H9" s="239"/>
      <c r="I9" s="239"/>
      <c r="J9" s="219">
        <f>'Состоявшиеся аукционы'!AB2</f>
        <v>0</v>
      </c>
      <c r="K9" s="221"/>
      <c r="L9" s="220"/>
      <c r="M9" s="239">
        <f t="shared" ref="M9:M15" si="0">D9-G9</f>
        <v>348018.92</v>
      </c>
      <c r="N9" s="239"/>
    </row>
    <row r="10" spans="1:14" ht="78.75" customHeight="1" thickBot="1" x14ac:dyDescent="0.35">
      <c r="A10" s="236" t="s">
        <v>49</v>
      </c>
      <c r="B10" s="237"/>
      <c r="C10" s="238"/>
      <c r="D10" s="239">
        <f>'Несостоявшиеся аукционы'!G2</f>
        <v>667469.44999999995</v>
      </c>
      <c r="E10" s="239"/>
      <c r="F10" s="239"/>
      <c r="G10" s="239">
        <f>'Несостоявшиеся аукционы'!Q2</f>
        <v>667469.44999999995</v>
      </c>
      <c r="H10" s="239"/>
      <c r="I10" s="239"/>
      <c r="J10" s="219">
        <f>'Несостоявшиеся аукционы'!AB2</f>
        <v>0</v>
      </c>
      <c r="K10" s="221"/>
      <c r="L10" s="220"/>
      <c r="M10" s="239">
        <f t="shared" si="0"/>
        <v>0</v>
      </c>
      <c r="N10" s="239"/>
    </row>
    <row r="11" spans="1:14" ht="40.5" customHeight="1" thickBot="1" x14ac:dyDescent="0.35">
      <c r="A11" s="236" t="s">
        <v>83</v>
      </c>
      <c r="B11" s="237"/>
      <c r="C11" s="238"/>
      <c r="D11" s="219">
        <f>'Иные конкурентные закупки'!G2</f>
        <v>0</v>
      </c>
      <c r="E11" s="221"/>
      <c r="F11" s="220"/>
      <c r="G11" s="219">
        <f>'Иные конкурентные закупки'!Q2</f>
        <v>0</v>
      </c>
      <c r="H11" s="221"/>
      <c r="I11" s="220"/>
      <c r="J11" s="219">
        <f>'Иные конкурентные закупки'!AB2</f>
        <v>0</v>
      </c>
      <c r="K11" s="221"/>
      <c r="L11" s="220"/>
      <c r="M11" s="219">
        <f t="shared" si="0"/>
        <v>0</v>
      </c>
      <c r="N11" s="220"/>
    </row>
    <row r="12" spans="1:14" ht="54.75" customHeight="1" thickBot="1" x14ac:dyDescent="0.35">
      <c r="A12" s="243" t="s">
        <v>50</v>
      </c>
      <c r="B12" s="244"/>
      <c r="C12" s="245"/>
      <c r="D12" s="239">
        <f>'Ед. поставщик п.4 ч.1'!H2</f>
        <v>112588.27</v>
      </c>
      <c r="E12" s="239"/>
      <c r="F12" s="239"/>
      <c r="G12" s="239">
        <f>D12</f>
        <v>112588.27</v>
      </c>
      <c r="H12" s="239"/>
      <c r="I12" s="239"/>
      <c r="J12" s="219">
        <f>'Ед. поставщик п.4 ч.1'!V2</f>
        <v>0</v>
      </c>
      <c r="K12" s="221"/>
      <c r="L12" s="220"/>
      <c r="M12" s="239">
        <f t="shared" si="0"/>
        <v>0</v>
      </c>
      <c r="N12" s="239"/>
    </row>
    <row r="13" spans="1:14" ht="45.75" customHeight="1" thickBot="1" x14ac:dyDescent="0.35">
      <c r="A13" s="243" t="s">
        <v>51</v>
      </c>
      <c r="B13" s="244"/>
      <c r="C13" s="245"/>
      <c r="D13" s="239">
        <f>'Ед. поставщик п.5 ч.1'!H2</f>
        <v>1874151.05</v>
      </c>
      <c r="E13" s="239"/>
      <c r="F13" s="239"/>
      <c r="G13" s="239">
        <f>D13</f>
        <v>1874151.05</v>
      </c>
      <c r="H13" s="239"/>
      <c r="I13" s="239"/>
      <c r="J13" s="219">
        <f>'Ед. поставщик п.5 ч.1'!V2</f>
        <v>0</v>
      </c>
      <c r="K13" s="221"/>
      <c r="L13" s="220"/>
      <c r="M13" s="239">
        <f t="shared" si="0"/>
        <v>0</v>
      </c>
      <c r="N13" s="239"/>
    </row>
    <row r="14" spans="1:14" ht="45.75" customHeight="1" thickBot="1" x14ac:dyDescent="0.35">
      <c r="A14" s="261" t="s">
        <v>52</v>
      </c>
      <c r="B14" s="262"/>
      <c r="C14" s="263"/>
      <c r="D14" s="219">
        <f>'Ед.поставщик за искл. п.4,5 ч.1'!G2</f>
        <v>1201103.3999999999</v>
      </c>
      <c r="E14" s="221"/>
      <c r="F14" s="220"/>
      <c r="G14" s="219">
        <f>D14</f>
        <v>1201103.3999999999</v>
      </c>
      <c r="H14" s="221"/>
      <c r="I14" s="220"/>
      <c r="J14" s="219">
        <f>'Ед.поставщик за искл. п.4,5 ч.1'!T2</f>
        <v>0</v>
      </c>
      <c r="K14" s="221"/>
      <c r="L14" s="220"/>
      <c r="M14" s="239">
        <f t="shared" si="0"/>
        <v>0</v>
      </c>
      <c r="N14" s="239"/>
    </row>
    <row r="15" spans="1:14" ht="21.6" thickBot="1" x14ac:dyDescent="0.35">
      <c r="A15" s="240" t="s">
        <v>143</v>
      </c>
      <c r="B15" s="241"/>
      <c r="C15" s="242"/>
      <c r="D15" s="239">
        <f>SUM(D9:D14)</f>
        <v>4595777.93</v>
      </c>
      <c r="E15" s="239"/>
      <c r="F15" s="239"/>
      <c r="G15" s="219">
        <f>SUM(G9:G14)</f>
        <v>4247759.01</v>
      </c>
      <c r="H15" s="221"/>
      <c r="I15" s="220"/>
      <c r="J15" s="219">
        <f>SUM(J9:J14)</f>
        <v>0</v>
      </c>
      <c r="K15" s="221"/>
      <c r="L15" s="220"/>
      <c r="M15" s="239">
        <f t="shared" si="0"/>
        <v>348018.91999999993</v>
      </c>
      <c r="N15" s="239"/>
    </row>
    <row r="17" spans="1:12" x14ac:dyDescent="0.3">
      <c r="K17" s="167"/>
    </row>
    <row r="18" spans="1:12" ht="15" thickBot="1" x14ac:dyDescent="0.35">
      <c r="K18" s="167"/>
    </row>
    <row r="19" spans="1:12" ht="23.25" customHeight="1" x14ac:dyDescent="0.3">
      <c r="A19" s="249" t="s">
        <v>35</v>
      </c>
      <c r="B19" s="250"/>
      <c r="C19" s="251"/>
      <c r="D19" s="255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1049414.6300000001</v>
      </c>
      <c r="E19" s="256"/>
      <c r="F19" s="256"/>
      <c r="G19" s="257"/>
      <c r="I19" s="20"/>
      <c r="J19" s="20"/>
      <c r="K19" s="20"/>
      <c r="L19" s="20"/>
    </row>
    <row r="20" spans="1:12" ht="24" customHeight="1" thickBot="1" x14ac:dyDescent="0.35">
      <c r="A20" s="252"/>
      <c r="B20" s="253"/>
      <c r="C20" s="254"/>
      <c r="D20" s="258"/>
      <c r="E20" s="259"/>
      <c r="F20" s="259"/>
      <c r="G20" s="260"/>
      <c r="I20" s="20"/>
      <c r="J20" s="20"/>
      <c r="K20" s="20"/>
      <c r="L20" s="20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26"/>
  <sheetViews>
    <sheetView showGridLines="0" topLeftCell="H1" zoomScale="60" zoomScaleNormal="60" workbookViewId="0">
      <pane ySplit="8" topLeftCell="A9" activePane="bottomLeft" state="frozen"/>
      <selection activeCell="I1" sqref="I1"/>
      <selection pane="bottomLeft" activeCell="K12" sqref="K12"/>
    </sheetView>
  </sheetViews>
  <sheetFormatPr defaultColWidth="0" defaultRowHeight="18" x14ac:dyDescent="0.3"/>
  <cols>
    <col min="1" max="1" width="9.109375" style="3" customWidth="1"/>
    <col min="2" max="3" width="35" style="3" customWidth="1"/>
    <col min="4" max="4" width="32.88671875" style="3" customWidth="1"/>
    <col min="5" max="5" width="23.33203125" style="12" customWidth="1"/>
    <col min="6" max="6" width="27.5546875" style="3" customWidth="1"/>
    <col min="7" max="7" width="49.109375" style="3" customWidth="1"/>
    <col min="8" max="8" width="26.88671875" style="11" customWidth="1"/>
    <col min="9" max="9" width="21.88671875" style="11" customWidth="1"/>
    <col min="10" max="10" width="33.5546875" style="3" customWidth="1"/>
    <col min="11" max="12" width="28.33203125" style="3" customWidth="1"/>
    <col min="13" max="13" width="34.88671875" style="3" customWidth="1"/>
    <col min="14" max="14" width="28.88671875" style="12" customWidth="1"/>
    <col min="15" max="15" width="28.88671875" style="3" customWidth="1"/>
    <col min="16" max="16" width="24" style="32" customWidth="1"/>
    <col min="17" max="17" width="24" style="12" bestFit="1" customWidth="1"/>
    <col min="18" max="18" width="23.44140625" style="8" customWidth="1"/>
    <col min="19" max="20" width="23.6640625" style="8" customWidth="1"/>
    <col min="21" max="21" width="24.5546875" style="12" customWidth="1"/>
    <col min="22" max="22" width="25.5546875" style="32" customWidth="1"/>
    <col min="23" max="23" width="17.664062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A2" s="86"/>
      <c r="B2" s="86"/>
      <c r="C2" s="86"/>
      <c r="D2" s="86"/>
      <c r="E2" s="86"/>
      <c r="F2" s="43"/>
      <c r="G2" s="101" t="s">
        <v>24</v>
      </c>
      <c r="H2" s="98">
        <f>SUM(H9:H9999)</f>
        <v>112588.27</v>
      </c>
      <c r="K2" s="280"/>
      <c r="L2" s="280"/>
      <c r="M2" s="280"/>
      <c r="N2" s="281" t="s">
        <v>137</v>
      </c>
      <c r="O2" s="283"/>
      <c r="P2" s="87">
        <f>SUM(P9:P9999)</f>
        <v>71593.429999999993</v>
      </c>
      <c r="R2" s="86"/>
      <c r="S2" s="281" t="s">
        <v>45</v>
      </c>
      <c r="T2" s="282"/>
      <c r="U2" s="283"/>
      <c r="V2" s="88">
        <f>SUM(V9:V9999)</f>
        <v>0</v>
      </c>
    </row>
    <row r="3" spans="1:24" x14ac:dyDescent="0.3">
      <c r="A3" s="280"/>
      <c r="B3" s="280"/>
      <c r="C3" s="280"/>
      <c r="D3" s="280"/>
      <c r="E3" s="280"/>
      <c r="F3" s="45"/>
      <c r="N3" s="86"/>
    </row>
    <row r="4" spans="1:24" ht="39.9" customHeight="1" x14ac:dyDescent="0.3">
      <c r="A4" s="14"/>
      <c r="B4" s="14"/>
      <c r="C4" s="14"/>
      <c r="D4" s="14"/>
      <c r="E4" s="29"/>
      <c r="F4" s="14"/>
      <c r="J4" s="284"/>
      <c r="K4" s="284"/>
      <c r="M4" s="284"/>
      <c r="N4" s="284"/>
      <c r="O4" s="284"/>
      <c r="P4" s="284"/>
    </row>
    <row r="5" spans="1:24" x14ac:dyDescent="0.3">
      <c r="A5" s="14"/>
      <c r="B5" s="14"/>
      <c r="C5" s="14"/>
      <c r="D5" s="14"/>
      <c r="E5" s="29"/>
      <c r="F5" s="14"/>
      <c r="G5" s="14"/>
      <c r="H5" s="15"/>
    </row>
    <row r="6" spans="1:24" ht="91.2" customHeight="1" x14ac:dyDescent="0.3">
      <c r="A6" s="69" t="s">
        <v>8</v>
      </c>
      <c r="B6" s="69" t="s">
        <v>47</v>
      </c>
      <c r="C6" s="69" t="s">
        <v>145</v>
      </c>
      <c r="D6" s="69" t="s">
        <v>10</v>
      </c>
      <c r="E6" s="68" t="s">
        <v>1</v>
      </c>
      <c r="F6" s="69" t="s">
        <v>2</v>
      </c>
      <c r="G6" s="69" t="s">
        <v>3</v>
      </c>
      <c r="H6" s="71" t="s">
        <v>4</v>
      </c>
      <c r="I6" s="71" t="s">
        <v>22</v>
      </c>
      <c r="J6" s="69" t="s">
        <v>46</v>
      </c>
      <c r="K6" s="69" t="s">
        <v>5</v>
      </c>
      <c r="L6" s="69" t="s">
        <v>82</v>
      </c>
      <c r="M6" s="69" t="s">
        <v>44</v>
      </c>
      <c r="N6" s="68" t="s">
        <v>7</v>
      </c>
      <c r="O6" s="69" t="s">
        <v>6</v>
      </c>
      <c r="P6" s="70" t="s">
        <v>23</v>
      </c>
      <c r="Q6" s="68" t="s">
        <v>9</v>
      </c>
      <c r="R6" s="67" t="s">
        <v>40</v>
      </c>
      <c r="S6" s="67" t="s">
        <v>103</v>
      </c>
      <c r="T6" s="67" t="s">
        <v>104</v>
      </c>
      <c r="U6" s="68" t="s">
        <v>41</v>
      </c>
      <c r="V6" s="70" t="s">
        <v>105</v>
      </c>
      <c r="W6" s="67" t="s">
        <v>42</v>
      </c>
    </row>
    <row r="7" spans="1:24" ht="17.399999999999999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9" customFormat="1" ht="90" hidden="1" x14ac:dyDescent="0.3">
      <c r="A8" s="72">
        <v>1</v>
      </c>
      <c r="B8" s="72" t="s">
        <v>56</v>
      </c>
      <c r="C8" s="72"/>
      <c r="D8" s="72" t="s">
        <v>58</v>
      </c>
      <c r="E8" s="73" t="s">
        <v>57</v>
      </c>
      <c r="F8" s="73" t="s">
        <v>107</v>
      </c>
      <c r="G8" s="72" t="s">
        <v>59</v>
      </c>
      <c r="H8" s="79">
        <v>20000</v>
      </c>
      <c r="I8" s="79">
        <f>H8-P8</f>
        <v>0</v>
      </c>
      <c r="J8" s="72" t="s">
        <v>60</v>
      </c>
      <c r="K8" s="72" t="s">
        <v>61</v>
      </c>
      <c r="L8" s="72"/>
      <c r="M8" s="72" t="s">
        <v>62</v>
      </c>
      <c r="N8" s="73">
        <v>43840</v>
      </c>
      <c r="O8" s="72" t="s">
        <v>144</v>
      </c>
      <c r="P8" s="103">
        <v>20000</v>
      </c>
      <c r="Q8" s="73">
        <v>43840</v>
      </c>
      <c r="R8" s="72"/>
      <c r="S8" s="79"/>
      <c r="T8" s="79"/>
      <c r="U8" s="73"/>
      <c r="V8" s="79"/>
      <c r="W8" s="75" t="s">
        <v>64</v>
      </c>
    </row>
    <row r="9" spans="1:24" s="106" customFormat="1" ht="144" customHeight="1" x14ac:dyDescent="0.3">
      <c r="A9" s="276">
        <v>1</v>
      </c>
      <c r="B9" s="266" t="s">
        <v>56</v>
      </c>
      <c r="C9" s="266" t="s">
        <v>146</v>
      </c>
      <c r="D9" s="266" t="s">
        <v>147</v>
      </c>
      <c r="E9" s="268">
        <v>34000962</v>
      </c>
      <c r="F9" s="270">
        <v>45289</v>
      </c>
      <c r="G9" s="266" t="s">
        <v>175</v>
      </c>
      <c r="H9" s="272">
        <v>27406.080000000002</v>
      </c>
      <c r="I9" s="274">
        <f>IF(X9 = 23, H9 + SUM(S9:S10) - SUM(T9:T10) - SUM(P9:P10) - V9,0)</f>
        <v>22838.400000000001</v>
      </c>
      <c r="J9" s="266" t="s">
        <v>176</v>
      </c>
      <c r="K9" s="266" t="s">
        <v>177</v>
      </c>
      <c r="L9" s="266" t="s">
        <v>146</v>
      </c>
      <c r="M9" s="266"/>
      <c r="N9" s="199">
        <v>45322</v>
      </c>
      <c r="O9" s="270" t="s">
        <v>166</v>
      </c>
      <c r="P9" s="193">
        <v>2283.84</v>
      </c>
      <c r="Q9" s="194">
        <v>45336</v>
      </c>
      <c r="R9" s="195"/>
      <c r="S9" s="193"/>
      <c r="T9" s="193"/>
      <c r="U9" s="272"/>
      <c r="V9" s="278"/>
      <c r="W9" s="264"/>
      <c r="X9" s="106">
        <v>23</v>
      </c>
    </row>
    <row r="10" spans="1:24" s="174" customFormat="1" x14ac:dyDescent="0.3">
      <c r="A10" s="277"/>
      <c r="B10" s="267"/>
      <c r="C10" s="267"/>
      <c r="D10" s="267"/>
      <c r="E10" s="269"/>
      <c r="F10" s="271"/>
      <c r="G10" s="267"/>
      <c r="H10" s="273"/>
      <c r="I10" s="275"/>
      <c r="J10" s="267"/>
      <c r="K10" s="267"/>
      <c r="L10" s="267"/>
      <c r="M10" s="267"/>
      <c r="N10" s="200">
        <v>45351</v>
      </c>
      <c r="O10" s="271"/>
      <c r="P10" s="196">
        <v>2283.84</v>
      </c>
      <c r="Q10" s="197">
        <v>45351</v>
      </c>
      <c r="R10" s="198"/>
      <c r="S10" s="196"/>
      <c r="T10" s="196"/>
      <c r="U10" s="273"/>
      <c r="V10" s="279"/>
      <c r="W10" s="265"/>
      <c r="X10" s="174">
        <v>23</v>
      </c>
    </row>
    <row r="11" spans="1:24" s="106" customFormat="1" ht="144" x14ac:dyDescent="0.3">
      <c r="A11" s="119">
        <v>2</v>
      </c>
      <c r="B11" s="120" t="s">
        <v>56</v>
      </c>
      <c r="C11" s="120" t="s">
        <v>146</v>
      </c>
      <c r="D11" s="120" t="s">
        <v>147</v>
      </c>
      <c r="E11" s="121">
        <v>166</v>
      </c>
      <c r="F11" s="128">
        <v>45279</v>
      </c>
      <c r="G11" s="120" t="s">
        <v>180</v>
      </c>
      <c r="H11" s="122">
        <v>15632.19</v>
      </c>
      <c r="I11" s="123">
        <f>IF(X11 = 24, H11 + SUM(S11:S11) - SUM(T11:T11) - SUM(P11:P11) - V11,0)</f>
        <v>14556.44</v>
      </c>
      <c r="J11" s="120" t="s">
        <v>181</v>
      </c>
      <c r="K11" s="120" t="s">
        <v>161</v>
      </c>
      <c r="L11" s="120" t="s">
        <v>146</v>
      </c>
      <c r="M11" s="120"/>
      <c r="N11" s="128">
        <v>45322</v>
      </c>
      <c r="O11" s="128" t="s">
        <v>166</v>
      </c>
      <c r="P11" s="122">
        <v>1075.75</v>
      </c>
      <c r="Q11" s="121">
        <v>45330</v>
      </c>
      <c r="R11" s="120"/>
      <c r="S11" s="122"/>
      <c r="T11" s="122"/>
      <c r="U11" s="122"/>
      <c r="V11" s="149"/>
      <c r="W11" s="127"/>
      <c r="X11" s="106">
        <v>24</v>
      </c>
    </row>
    <row r="12" spans="1:24" s="106" customFormat="1" ht="144" x14ac:dyDescent="0.3">
      <c r="A12" s="119">
        <v>3</v>
      </c>
      <c r="B12" s="120" t="s">
        <v>56</v>
      </c>
      <c r="C12" s="120" t="s">
        <v>146</v>
      </c>
      <c r="D12" s="120" t="s">
        <v>147</v>
      </c>
      <c r="E12" s="121" t="s">
        <v>207</v>
      </c>
      <c r="F12" s="128">
        <v>44949</v>
      </c>
      <c r="G12" s="120" t="s">
        <v>208</v>
      </c>
      <c r="H12" s="122">
        <v>8200</v>
      </c>
      <c r="I12" s="123">
        <f>IF(X12 = 26, H12 + SUM(S12:S12) - SUM(T12:T12) - SUM(P12:P12) - V12,0)</f>
        <v>0</v>
      </c>
      <c r="J12" s="120" t="s">
        <v>209</v>
      </c>
      <c r="K12" s="120" t="s">
        <v>210</v>
      </c>
      <c r="L12" s="120" t="s">
        <v>146</v>
      </c>
      <c r="M12" s="120"/>
      <c r="N12" s="128"/>
      <c r="O12" s="128" t="s">
        <v>195</v>
      </c>
      <c r="P12" s="122">
        <v>8200</v>
      </c>
      <c r="Q12" s="121">
        <v>45315</v>
      </c>
      <c r="R12" s="120"/>
      <c r="S12" s="122"/>
      <c r="T12" s="122"/>
      <c r="U12" s="122"/>
      <c r="V12" s="149"/>
      <c r="W12" s="127"/>
      <c r="X12" s="106">
        <v>26</v>
      </c>
    </row>
    <row r="13" spans="1:24" s="106" customFormat="1" ht="18" customHeight="1" x14ac:dyDescent="0.3">
      <c r="A13" s="156">
        <v>4</v>
      </c>
      <c r="B13" s="151" t="s">
        <v>56</v>
      </c>
      <c r="C13" s="151" t="s">
        <v>146</v>
      </c>
      <c r="D13" s="151" t="s">
        <v>147</v>
      </c>
      <c r="E13" s="166">
        <v>42</v>
      </c>
      <c r="F13" s="152">
        <v>45316</v>
      </c>
      <c r="G13" s="151" t="s">
        <v>211</v>
      </c>
      <c r="H13" s="153">
        <v>1400</v>
      </c>
      <c r="I13" s="157">
        <f>IF(X13 = 29, H13 + SUM(S13:S13) - SUM(T13:T13) - SUM(P13:P13) - V13,0)</f>
        <v>0</v>
      </c>
      <c r="J13" s="151" t="s">
        <v>159</v>
      </c>
      <c r="K13" s="151" t="s">
        <v>160</v>
      </c>
      <c r="L13" s="151" t="s">
        <v>146</v>
      </c>
      <c r="M13" s="151"/>
      <c r="N13" s="137"/>
      <c r="O13" s="152" t="s">
        <v>195</v>
      </c>
      <c r="P13" s="138">
        <v>1400</v>
      </c>
      <c r="Q13" s="139">
        <v>45322</v>
      </c>
      <c r="R13" s="140"/>
      <c r="S13" s="138"/>
      <c r="T13" s="138"/>
      <c r="U13" s="153"/>
      <c r="V13" s="154"/>
      <c r="W13" s="155"/>
      <c r="X13" s="106">
        <v>29</v>
      </c>
    </row>
    <row r="14" spans="1:24" s="106" customFormat="1" ht="144" x14ac:dyDescent="0.3">
      <c r="A14" s="119">
        <v>5</v>
      </c>
      <c r="B14" s="120" t="s">
        <v>56</v>
      </c>
      <c r="C14" s="120" t="s">
        <v>146</v>
      </c>
      <c r="D14" s="120" t="s">
        <v>147</v>
      </c>
      <c r="E14" s="150">
        <v>43</v>
      </c>
      <c r="F14" s="128">
        <v>45316</v>
      </c>
      <c r="G14" s="151" t="s">
        <v>211</v>
      </c>
      <c r="H14" s="153">
        <v>1400</v>
      </c>
      <c r="I14" s="123">
        <f>IF(X14 = 30, H14 + SUM(S14:S14) - SUM(T14:T14) - SUM(P14:P14) - V14,0)</f>
        <v>0</v>
      </c>
      <c r="J14" s="151" t="s">
        <v>159</v>
      </c>
      <c r="K14" s="151" t="s">
        <v>160</v>
      </c>
      <c r="L14" s="120" t="s">
        <v>146</v>
      </c>
      <c r="M14" s="120"/>
      <c r="N14" s="128"/>
      <c r="O14" s="128" t="s">
        <v>195</v>
      </c>
      <c r="P14" s="122">
        <v>1400</v>
      </c>
      <c r="Q14" s="121">
        <v>45322</v>
      </c>
      <c r="R14" s="120"/>
      <c r="S14" s="122"/>
      <c r="T14" s="122"/>
      <c r="U14" s="122"/>
      <c r="V14" s="149"/>
      <c r="W14" s="127"/>
      <c r="X14" s="106">
        <v>30</v>
      </c>
    </row>
    <row r="15" spans="1:24" s="106" customFormat="1" ht="144" x14ac:dyDescent="0.3">
      <c r="A15" s="119">
        <v>6</v>
      </c>
      <c r="B15" s="120" t="s">
        <v>56</v>
      </c>
      <c r="C15" s="120" t="s">
        <v>146</v>
      </c>
      <c r="D15" s="120" t="s">
        <v>147</v>
      </c>
      <c r="E15" s="150">
        <v>11</v>
      </c>
      <c r="F15" s="128">
        <v>45321</v>
      </c>
      <c r="G15" s="120" t="s">
        <v>213</v>
      </c>
      <c r="H15" s="122">
        <v>14450</v>
      </c>
      <c r="I15" s="123">
        <f>IF(X15 = 31, H15 + SUM(S15:S15) - SUM(T15:T15) - SUM(P15:P15) - V15,0)</f>
        <v>0</v>
      </c>
      <c r="J15" s="120" t="s">
        <v>214</v>
      </c>
      <c r="K15" s="120" t="s">
        <v>200</v>
      </c>
      <c r="L15" s="120" t="s">
        <v>146</v>
      </c>
      <c r="M15" s="120"/>
      <c r="N15" s="128"/>
      <c r="O15" s="128" t="s">
        <v>195</v>
      </c>
      <c r="P15" s="122">
        <v>14450</v>
      </c>
      <c r="Q15" s="121">
        <v>45322</v>
      </c>
      <c r="R15" s="120"/>
      <c r="S15" s="122"/>
      <c r="T15" s="122"/>
      <c r="U15" s="122"/>
      <c r="V15" s="149"/>
      <c r="W15" s="127"/>
      <c r="X15" s="106">
        <v>31</v>
      </c>
    </row>
    <row r="16" spans="1:24" s="106" customFormat="1" ht="144" x14ac:dyDescent="0.3">
      <c r="A16" s="119">
        <v>7</v>
      </c>
      <c r="B16" s="120" t="s">
        <v>56</v>
      </c>
      <c r="C16" s="120" t="s">
        <v>164</v>
      </c>
      <c r="D16" s="120" t="s">
        <v>147</v>
      </c>
      <c r="E16" s="150">
        <v>10</v>
      </c>
      <c r="F16" s="128">
        <v>45327</v>
      </c>
      <c r="G16" s="120" t="s">
        <v>59</v>
      </c>
      <c r="H16" s="122">
        <v>14400</v>
      </c>
      <c r="I16" s="123">
        <f>IF(X16 = 32, H16 + SUM(S16:S16) - SUM(T16:T16) - SUM(P16:P16) - V16,0)</f>
        <v>0</v>
      </c>
      <c r="J16" s="120" t="s">
        <v>215</v>
      </c>
      <c r="K16" s="120" t="s">
        <v>216</v>
      </c>
      <c r="L16" s="120" t="s">
        <v>146</v>
      </c>
      <c r="M16" s="120"/>
      <c r="N16" s="128"/>
      <c r="O16" s="128" t="s">
        <v>195</v>
      </c>
      <c r="P16" s="122">
        <v>14400</v>
      </c>
      <c r="Q16" s="121">
        <v>45334</v>
      </c>
      <c r="R16" s="120"/>
      <c r="S16" s="122"/>
      <c r="T16" s="122"/>
      <c r="U16" s="122"/>
      <c r="V16" s="149"/>
      <c r="W16" s="127"/>
      <c r="X16" s="106">
        <v>32</v>
      </c>
    </row>
    <row r="17" spans="1:24" s="106" customFormat="1" ht="144" x14ac:dyDescent="0.3">
      <c r="A17" s="158">
        <v>8</v>
      </c>
      <c r="B17" s="159" t="s">
        <v>56</v>
      </c>
      <c r="C17" s="159" t="s">
        <v>146</v>
      </c>
      <c r="D17" s="159" t="s">
        <v>147</v>
      </c>
      <c r="E17" s="164">
        <v>45336</v>
      </c>
      <c r="F17" s="170">
        <v>45336</v>
      </c>
      <c r="G17" s="159" t="s">
        <v>217</v>
      </c>
      <c r="H17" s="160">
        <v>6000</v>
      </c>
      <c r="I17" s="161">
        <f>IF(X17 = 33, H17 + SUM(S17:S17) - SUM(T17:T17) - SUM(P17:P17) - V17,0)</f>
        <v>0</v>
      </c>
      <c r="J17" s="159" t="s">
        <v>209</v>
      </c>
      <c r="K17" s="159" t="s">
        <v>210</v>
      </c>
      <c r="L17" s="159" t="s">
        <v>146</v>
      </c>
      <c r="M17" s="159"/>
      <c r="N17" s="170"/>
      <c r="O17" s="170" t="s">
        <v>195</v>
      </c>
      <c r="P17" s="160">
        <v>6000</v>
      </c>
      <c r="Q17" s="163">
        <v>45348</v>
      </c>
      <c r="R17" s="159"/>
      <c r="S17" s="160"/>
      <c r="T17" s="160"/>
      <c r="U17" s="160"/>
      <c r="V17" s="169"/>
      <c r="W17" s="162"/>
      <c r="X17" s="106">
        <v>33</v>
      </c>
    </row>
    <row r="18" spans="1:24" s="106" customFormat="1" ht="144" x14ac:dyDescent="0.3">
      <c r="A18" s="158">
        <v>9</v>
      </c>
      <c r="B18" s="159" t="s">
        <v>56</v>
      </c>
      <c r="C18" s="159" t="s">
        <v>146</v>
      </c>
      <c r="D18" s="159" t="s">
        <v>147</v>
      </c>
      <c r="E18" s="168">
        <v>139</v>
      </c>
      <c r="F18" s="170">
        <v>45337</v>
      </c>
      <c r="G18" s="159" t="s">
        <v>218</v>
      </c>
      <c r="H18" s="160">
        <v>7000</v>
      </c>
      <c r="I18" s="161">
        <f>IF(X18 = 34, H18 + SUM(S18:S18) - SUM(T18:T18) - SUM(P18:P18) - V18,0)</f>
        <v>0</v>
      </c>
      <c r="J18" s="159" t="s">
        <v>219</v>
      </c>
      <c r="K18" s="159" t="s">
        <v>220</v>
      </c>
      <c r="L18" s="159" t="s">
        <v>146</v>
      </c>
      <c r="M18" s="159"/>
      <c r="N18" s="170"/>
      <c r="O18" s="170" t="s">
        <v>195</v>
      </c>
      <c r="P18" s="160">
        <v>7000</v>
      </c>
      <c r="Q18" s="163">
        <v>45350</v>
      </c>
      <c r="R18" s="159"/>
      <c r="S18" s="160"/>
      <c r="T18" s="160"/>
      <c r="U18" s="160"/>
      <c r="V18" s="169"/>
      <c r="W18" s="162"/>
      <c r="X18" s="106">
        <v>34</v>
      </c>
    </row>
    <row r="19" spans="1:24" s="106" customFormat="1" ht="144" x14ac:dyDescent="0.3">
      <c r="A19" s="158">
        <v>10</v>
      </c>
      <c r="B19" s="159" t="s">
        <v>56</v>
      </c>
      <c r="C19" s="159" t="s">
        <v>146</v>
      </c>
      <c r="D19" s="159" t="s">
        <v>147</v>
      </c>
      <c r="E19" s="164">
        <v>45348</v>
      </c>
      <c r="F19" s="170">
        <v>45348</v>
      </c>
      <c r="G19" s="159" t="s">
        <v>217</v>
      </c>
      <c r="H19" s="160">
        <v>13100</v>
      </c>
      <c r="I19" s="161">
        <f>IF(X19 = 35, H19 + SUM(S19:S19) - SUM(T19:T19) - SUM(P19:P19) - V19,0)</f>
        <v>0</v>
      </c>
      <c r="J19" s="159" t="s">
        <v>209</v>
      </c>
      <c r="K19" s="159" t="s">
        <v>210</v>
      </c>
      <c r="L19" s="159" t="s">
        <v>146</v>
      </c>
      <c r="M19" s="159"/>
      <c r="N19" s="170"/>
      <c r="O19" s="170" t="s">
        <v>195</v>
      </c>
      <c r="P19" s="160">
        <v>13100</v>
      </c>
      <c r="Q19" s="163">
        <v>45351</v>
      </c>
      <c r="R19" s="159"/>
      <c r="S19" s="160"/>
      <c r="T19" s="160"/>
      <c r="U19" s="160"/>
      <c r="V19" s="169"/>
      <c r="W19" s="162"/>
      <c r="X19" s="106">
        <v>35</v>
      </c>
    </row>
    <row r="20" spans="1:24" s="106" customFormat="1" ht="144" x14ac:dyDescent="0.3">
      <c r="A20" s="158">
        <v>11</v>
      </c>
      <c r="B20" s="159" t="s">
        <v>56</v>
      </c>
      <c r="C20" s="159" t="s">
        <v>146</v>
      </c>
      <c r="D20" s="159" t="s">
        <v>221</v>
      </c>
      <c r="E20" s="164" t="s">
        <v>223</v>
      </c>
      <c r="F20" s="170">
        <v>45351</v>
      </c>
      <c r="G20" s="159" t="s">
        <v>224</v>
      </c>
      <c r="H20" s="160">
        <v>3600</v>
      </c>
      <c r="I20" s="161">
        <f>IF(X20 = 36, H20 + SUM(S20:S20) - SUM(T20:T20) - SUM(P20:P20) - V20,0)</f>
        <v>3600</v>
      </c>
      <c r="J20" s="159" t="s">
        <v>225</v>
      </c>
      <c r="K20" s="159" t="s">
        <v>157</v>
      </c>
      <c r="L20" s="159" t="s">
        <v>146</v>
      </c>
      <c r="M20" s="159"/>
      <c r="N20" s="170"/>
      <c r="O20" s="170" t="s">
        <v>195</v>
      </c>
      <c r="P20" s="160"/>
      <c r="Q20" s="163"/>
      <c r="R20" s="159"/>
      <c r="S20" s="160"/>
      <c r="T20" s="160"/>
      <c r="U20" s="160"/>
      <c r="V20" s="169"/>
      <c r="W20" s="162"/>
      <c r="X20" s="106">
        <v>36</v>
      </c>
    </row>
    <row r="21" spans="1:24" x14ac:dyDescent="0.3">
      <c r="A21" s="14"/>
      <c r="B21" s="108"/>
      <c r="C21" s="14"/>
      <c r="D21" s="14"/>
      <c r="E21" s="29"/>
      <c r="F21" s="14"/>
      <c r="G21" s="14"/>
      <c r="H21" s="15"/>
      <c r="I21" s="15"/>
      <c r="J21" s="14"/>
      <c r="K21" s="14"/>
      <c r="L21" s="14"/>
      <c r="M21" s="14"/>
      <c r="N21" s="29"/>
      <c r="O21" s="14"/>
      <c r="P21" s="104"/>
      <c r="Q21" s="29"/>
      <c r="R21" s="16"/>
      <c r="S21" s="16"/>
      <c r="T21" s="16"/>
      <c r="U21" s="29"/>
      <c r="V21" s="104"/>
      <c r="W21" s="16"/>
      <c r="X21" s="8">
        <v>37</v>
      </c>
    </row>
    <row r="22" spans="1:24" s="2" customFormat="1" x14ac:dyDescent="0.3">
      <c r="A22" s="41"/>
      <c r="B22" s="109"/>
      <c r="C22" s="41"/>
      <c r="D22" s="41"/>
      <c r="E22" s="42"/>
      <c r="F22" s="41"/>
      <c r="G22" s="41"/>
      <c r="H22" s="44"/>
      <c r="I22" s="44"/>
      <c r="J22" s="41"/>
      <c r="K22" s="41"/>
      <c r="L22" s="41"/>
      <c r="M22" s="41"/>
      <c r="N22" s="42"/>
      <c r="O22" s="41"/>
      <c r="P22" s="40"/>
      <c r="Q22" s="42"/>
      <c r="U22" s="42"/>
      <c r="V22" s="40"/>
    </row>
    <row r="23" spans="1:24" s="2" customFormat="1" x14ac:dyDescent="0.3">
      <c r="A23" s="41"/>
      <c r="B23" s="109"/>
      <c r="C23" s="41"/>
      <c r="D23" s="41"/>
      <c r="E23" s="42"/>
      <c r="F23" s="41"/>
      <c r="G23" s="41"/>
      <c r="H23" s="44"/>
      <c r="I23" s="44"/>
      <c r="J23" s="41"/>
      <c r="K23" s="41"/>
      <c r="L23" s="41"/>
      <c r="M23" s="41"/>
      <c r="N23" s="42"/>
      <c r="O23" s="41"/>
      <c r="P23" s="40"/>
      <c r="Q23" s="42"/>
      <c r="U23" s="42"/>
      <c r="V23" s="40"/>
    </row>
    <row r="24" spans="1:24" s="2" customFormat="1" x14ac:dyDescent="0.3">
      <c r="A24" s="41"/>
      <c r="B24" s="109"/>
      <c r="C24" s="41"/>
      <c r="D24" s="41"/>
      <c r="E24" s="42"/>
      <c r="F24" s="41"/>
      <c r="G24" s="41"/>
      <c r="H24" s="44"/>
      <c r="I24" s="44"/>
      <c r="J24" s="41"/>
      <c r="K24" s="41"/>
      <c r="L24" s="41"/>
      <c r="M24" s="41"/>
      <c r="N24" s="42"/>
      <c r="O24" s="41"/>
      <c r="P24" s="40"/>
      <c r="Q24" s="42"/>
      <c r="U24" s="42"/>
      <c r="V24" s="40"/>
    </row>
    <row r="25" spans="1:24" s="2" customFormat="1" x14ac:dyDescent="0.3">
      <c r="A25" s="41"/>
      <c r="B25" s="109"/>
      <c r="C25" s="41"/>
      <c r="D25" s="41"/>
      <c r="E25" s="42"/>
      <c r="F25" s="41"/>
      <c r="G25" s="41"/>
      <c r="H25" s="44"/>
      <c r="I25" s="44"/>
      <c r="J25" s="41"/>
      <c r="K25" s="41"/>
      <c r="L25" s="41"/>
      <c r="M25" s="41"/>
      <c r="N25" s="42"/>
      <c r="O25" s="41"/>
      <c r="P25" s="40"/>
      <c r="Q25" s="42"/>
      <c r="U25" s="42"/>
      <c r="V25" s="40"/>
    </row>
    <row r="26" spans="1:24" s="2" customFormat="1" x14ac:dyDescent="0.3">
      <c r="A26" s="41"/>
      <c r="B26" s="109"/>
      <c r="C26" s="41"/>
      <c r="D26" s="41"/>
      <c r="E26" s="42"/>
      <c r="F26" s="41"/>
      <c r="G26" s="41"/>
      <c r="H26" s="44"/>
      <c r="I26" s="44"/>
      <c r="J26" s="41"/>
      <c r="K26" s="41"/>
      <c r="L26" s="41"/>
      <c r="M26" s="41"/>
      <c r="N26" s="42"/>
      <c r="O26" s="41"/>
      <c r="P26" s="40"/>
      <c r="Q26" s="42"/>
      <c r="U26" s="42"/>
      <c r="V26" s="40"/>
    </row>
  </sheetData>
  <sheetProtection algorithmName="SHA-512" hashValue="7gTVzVCLbtlA/XXXvtA+4GmdPuOHN9aTyZgnhfq2oaq/2tzAYX9hdImXbMfwSfA4vO+ArDhv6dEIEDvM7WErRQ==" saltValue="UZRSis0BMn0SHq7iVrWgHQ==" spinCount="100000" sheet="1" objects="1" scenarios="1" formatCells="0" formatColumns="0" formatRows="0"/>
  <mergeCells count="24">
    <mergeCell ref="A3:E3"/>
    <mergeCell ref="S2:U2"/>
    <mergeCell ref="N2:O2"/>
    <mergeCell ref="J4:K4"/>
    <mergeCell ref="M4:N4"/>
    <mergeCell ref="O4:P4"/>
    <mergeCell ref="K2:M2"/>
    <mergeCell ref="A9:A10"/>
    <mergeCell ref="O9:O10"/>
    <mergeCell ref="U9:U10"/>
    <mergeCell ref="B9:B10"/>
    <mergeCell ref="V9:V10"/>
    <mergeCell ref="C9:C10"/>
    <mergeCell ref="W9:W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50"/>
  <sheetViews>
    <sheetView showGridLines="0" topLeftCell="I1" zoomScale="70" zoomScaleNormal="70" workbookViewId="0">
      <pane ySplit="8" topLeftCell="A23" activePane="bottomLeft" state="frozen"/>
      <selection pane="bottomLeft" activeCell="R27" sqref="R27"/>
    </sheetView>
  </sheetViews>
  <sheetFormatPr defaultColWidth="0" defaultRowHeight="18" x14ac:dyDescent="0.3"/>
  <cols>
    <col min="1" max="1" width="14" style="3" customWidth="1"/>
    <col min="2" max="2" width="40.33203125" style="3" customWidth="1"/>
    <col min="3" max="3" width="34" style="3" customWidth="1"/>
    <col min="4" max="4" width="25.44140625" style="3" customWidth="1"/>
    <col min="5" max="5" width="23.88671875" style="3" customWidth="1"/>
    <col min="6" max="6" width="32.44140625" style="3" customWidth="1"/>
    <col min="7" max="7" width="27.44140625" style="12" customWidth="1"/>
    <col min="8" max="8" width="38.44140625" style="3" bestFit="1" customWidth="1"/>
    <col min="9" max="9" width="33" style="3" customWidth="1"/>
    <col min="10" max="11" width="27.33203125" style="32" customWidth="1"/>
    <col min="12" max="12" width="21.44140625" style="3" customWidth="1"/>
    <col min="13" max="13" width="26.5546875" style="3" customWidth="1"/>
    <col min="14" max="14" width="28.109375" style="12" customWidth="1"/>
    <col min="15" max="15" width="39.33203125" style="3" customWidth="1"/>
    <col min="16" max="16" width="24.6640625" style="32" customWidth="1"/>
    <col min="17" max="17" width="24.44140625" style="12" customWidth="1"/>
    <col min="18" max="18" width="23.44140625" style="3" customWidth="1"/>
    <col min="19" max="19" width="25.6640625" style="3" customWidth="1"/>
    <col min="20" max="20" width="26" style="3" customWidth="1"/>
    <col min="21" max="21" width="23.6640625" style="12" customWidth="1"/>
    <col min="22" max="22" width="24" style="11" customWidth="1"/>
    <col min="23" max="23" width="21.8867187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E2" s="86"/>
      <c r="F2" s="307" t="s">
        <v>24</v>
      </c>
      <c r="G2" s="308"/>
      <c r="H2" s="98">
        <f>SUM(H9:H9999)</f>
        <v>1874151.05</v>
      </c>
      <c r="I2" s="86"/>
      <c r="J2" s="39"/>
      <c r="N2" s="281" t="s">
        <v>137</v>
      </c>
      <c r="O2" s="283"/>
      <c r="P2" s="87">
        <f>SUM(P9:P9999)</f>
        <v>362174.59</v>
      </c>
      <c r="R2" s="86"/>
      <c r="S2" s="281" t="s">
        <v>45</v>
      </c>
      <c r="T2" s="282"/>
      <c r="U2" s="283"/>
      <c r="V2" s="88">
        <f>SUM(V9:V9999)</f>
        <v>0</v>
      </c>
    </row>
    <row r="3" spans="1:24" x14ac:dyDescent="0.3">
      <c r="F3" s="38"/>
      <c r="G3" s="38"/>
      <c r="H3" s="38"/>
      <c r="I3" s="38"/>
      <c r="J3" s="39"/>
      <c r="K3" s="40"/>
      <c r="L3" s="41"/>
      <c r="M3" s="41"/>
      <c r="N3" s="38"/>
      <c r="O3" s="38"/>
      <c r="P3" s="39"/>
      <c r="Q3" s="42"/>
      <c r="R3" s="38"/>
      <c r="S3" s="38"/>
      <c r="T3" s="38"/>
      <c r="U3" s="38"/>
      <c r="V3" s="43"/>
    </row>
    <row r="4" spans="1:24" ht="39.9" customHeight="1" x14ac:dyDescent="0.3">
      <c r="F4" s="38"/>
      <c r="G4" s="38"/>
      <c r="H4" s="38"/>
      <c r="I4" s="38"/>
      <c r="J4" s="39"/>
      <c r="K4" s="40"/>
      <c r="L4" s="41"/>
      <c r="M4" s="41"/>
      <c r="N4" s="38"/>
      <c r="O4" s="38"/>
      <c r="P4" s="39"/>
      <c r="Q4" s="42"/>
      <c r="R4" s="38"/>
      <c r="S4" s="38"/>
      <c r="T4" s="38"/>
      <c r="U4" s="38"/>
      <c r="V4" s="43"/>
    </row>
    <row r="6" spans="1:24" ht="144" x14ac:dyDescent="0.3">
      <c r="A6" s="23" t="s">
        <v>8</v>
      </c>
      <c r="B6" s="23" t="s">
        <v>47</v>
      </c>
      <c r="C6" s="23" t="s">
        <v>145</v>
      </c>
      <c r="D6" s="23" t="s">
        <v>10</v>
      </c>
      <c r="E6" s="23" t="s">
        <v>1</v>
      </c>
      <c r="F6" s="23" t="s">
        <v>2</v>
      </c>
      <c r="G6" s="30" t="s">
        <v>3</v>
      </c>
      <c r="H6" s="23" t="s">
        <v>4</v>
      </c>
      <c r="I6" s="23" t="s">
        <v>22</v>
      </c>
      <c r="J6" s="33" t="s">
        <v>46</v>
      </c>
      <c r="K6" s="33" t="s">
        <v>5</v>
      </c>
      <c r="L6" s="23" t="s">
        <v>106</v>
      </c>
      <c r="M6" s="23" t="s">
        <v>39</v>
      </c>
      <c r="N6" s="30" t="s">
        <v>37</v>
      </c>
      <c r="O6" s="23" t="s">
        <v>6</v>
      </c>
      <c r="P6" s="33" t="s">
        <v>23</v>
      </c>
      <c r="Q6" s="30" t="s">
        <v>9</v>
      </c>
      <c r="R6" s="28" t="s">
        <v>40</v>
      </c>
      <c r="S6" s="28" t="s">
        <v>103</v>
      </c>
      <c r="T6" s="28" t="s">
        <v>104</v>
      </c>
      <c r="U6" s="27" t="s">
        <v>41</v>
      </c>
      <c r="V6" s="31" t="s">
        <v>43</v>
      </c>
      <c r="W6" s="1" t="s">
        <v>42</v>
      </c>
    </row>
    <row r="7" spans="1:24" ht="17.399999999999999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8" customFormat="1" ht="108" hidden="1" x14ac:dyDescent="0.3">
      <c r="A8" s="26" t="s">
        <v>36</v>
      </c>
      <c r="B8" s="26" t="s">
        <v>56</v>
      </c>
      <c r="C8" s="26"/>
      <c r="D8" s="26" t="s">
        <v>58</v>
      </c>
      <c r="E8" s="26" t="s">
        <v>57</v>
      </c>
      <c r="F8" s="77">
        <v>43839</v>
      </c>
      <c r="G8" s="25" t="s">
        <v>59</v>
      </c>
      <c r="H8" s="24">
        <v>20000</v>
      </c>
      <c r="I8" s="24">
        <v>0</v>
      </c>
      <c r="J8" s="76">
        <v>2353019514</v>
      </c>
      <c r="K8" s="34" t="s">
        <v>61</v>
      </c>
      <c r="L8" s="26"/>
      <c r="M8" s="26" t="s">
        <v>62</v>
      </c>
      <c r="N8" s="25">
        <v>43840</v>
      </c>
      <c r="O8" s="26" t="s">
        <v>63</v>
      </c>
      <c r="P8" s="34">
        <v>20000</v>
      </c>
      <c r="Q8" s="25">
        <v>43840</v>
      </c>
      <c r="R8" s="26"/>
      <c r="S8" s="72"/>
      <c r="T8" s="72"/>
      <c r="U8" s="25"/>
      <c r="V8" s="24"/>
      <c r="W8" s="13" t="s">
        <v>64</v>
      </c>
    </row>
    <row r="9" spans="1:24" s="107" customFormat="1" ht="108" x14ac:dyDescent="0.3">
      <c r="A9" s="119">
        <v>1</v>
      </c>
      <c r="B9" s="120" t="s">
        <v>56</v>
      </c>
      <c r="C9" s="120" t="s">
        <v>146</v>
      </c>
      <c r="D9" s="120" t="s">
        <v>147</v>
      </c>
      <c r="E9" s="120" t="s">
        <v>110</v>
      </c>
      <c r="F9" s="128">
        <v>45289</v>
      </c>
      <c r="G9" s="121" t="s">
        <v>165</v>
      </c>
      <c r="H9" s="122">
        <v>316800</v>
      </c>
      <c r="I9" s="123">
        <f>IF(X9 = 18, H9 + SUM(S9:S9) - SUM(T9:T9) - SUM(P9:P9) - V9,0)</f>
        <v>221545.75</v>
      </c>
      <c r="J9" s="124">
        <v>2311299612</v>
      </c>
      <c r="K9" s="125" t="s">
        <v>194</v>
      </c>
      <c r="L9" s="120" t="s">
        <v>146</v>
      </c>
      <c r="M9" s="120"/>
      <c r="N9" s="128">
        <v>45322</v>
      </c>
      <c r="O9" s="128" t="s">
        <v>195</v>
      </c>
      <c r="P9" s="122">
        <v>95254.25</v>
      </c>
      <c r="Q9" s="121">
        <v>45330</v>
      </c>
      <c r="R9" s="120"/>
      <c r="S9" s="122"/>
      <c r="T9" s="122"/>
      <c r="U9" s="122"/>
      <c r="V9" s="126"/>
      <c r="W9" s="127"/>
      <c r="X9" s="107">
        <v>18</v>
      </c>
    </row>
    <row r="10" spans="1:24" s="107" customFormat="1" ht="36" customHeight="1" x14ac:dyDescent="0.3">
      <c r="A10" s="276">
        <v>2</v>
      </c>
      <c r="B10" s="266" t="s">
        <v>56</v>
      </c>
      <c r="C10" s="266" t="s">
        <v>146</v>
      </c>
      <c r="D10" s="266" t="s">
        <v>147</v>
      </c>
      <c r="E10" s="266" t="s">
        <v>113</v>
      </c>
      <c r="F10" s="270">
        <v>45289</v>
      </c>
      <c r="G10" s="287" t="s">
        <v>167</v>
      </c>
      <c r="H10" s="272">
        <v>38000</v>
      </c>
      <c r="I10" s="274">
        <f>IF(X10 = 19, H10 + SUM(S10:S11) - SUM(T10:T11) - SUM(P10:P11) - V10,0)</f>
        <v>33943.519999999997</v>
      </c>
      <c r="J10" s="289">
        <v>2353246210</v>
      </c>
      <c r="K10" s="291" t="s">
        <v>150</v>
      </c>
      <c r="L10" s="266" t="s">
        <v>146</v>
      </c>
      <c r="M10" s="266"/>
      <c r="N10" s="199">
        <v>45308</v>
      </c>
      <c r="O10" s="270" t="s">
        <v>168</v>
      </c>
      <c r="P10" s="193">
        <v>1314.6</v>
      </c>
      <c r="Q10" s="194">
        <v>45324</v>
      </c>
      <c r="R10" s="195"/>
      <c r="S10" s="193"/>
      <c r="T10" s="193"/>
      <c r="U10" s="272"/>
      <c r="V10" s="285"/>
      <c r="W10" s="264"/>
      <c r="X10" s="107">
        <v>19</v>
      </c>
    </row>
    <row r="11" spans="1:24" s="2" customFormat="1" x14ac:dyDescent="0.3">
      <c r="A11" s="277"/>
      <c r="B11" s="267"/>
      <c r="C11" s="267"/>
      <c r="D11" s="267"/>
      <c r="E11" s="267"/>
      <c r="F11" s="271"/>
      <c r="G11" s="288"/>
      <c r="H11" s="273"/>
      <c r="I11" s="275"/>
      <c r="J11" s="290"/>
      <c r="K11" s="292"/>
      <c r="L11" s="267"/>
      <c r="M11" s="267"/>
      <c r="N11" s="200">
        <v>45337</v>
      </c>
      <c r="O11" s="271"/>
      <c r="P11" s="196">
        <v>2741.88</v>
      </c>
      <c r="Q11" s="197">
        <v>45349</v>
      </c>
      <c r="R11" s="198"/>
      <c r="S11" s="196"/>
      <c r="T11" s="196"/>
      <c r="U11" s="273"/>
      <c r="V11" s="286"/>
      <c r="W11" s="265"/>
      <c r="X11" s="2">
        <v>19</v>
      </c>
    </row>
    <row r="12" spans="1:24" s="107" customFormat="1" ht="37.5" customHeight="1" x14ac:dyDescent="0.3">
      <c r="A12" s="357">
        <v>3</v>
      </c>
      <c r="B12" s="351" t="s">
        <v>56</v>
      </c>
      <c r="C12" s="351" t="s">
        <v>146</v>
      </c>
      <c r="D12" s="351" t="s">
        <v>172</v>
      </c>
      <c r="E12" s="351" t="s">
        <v>173</v>
      </c>
      <c r="F12" s="367">
        <v>45289</v>
      </c>
      <c r="G12" s="370" t="s">
        <v>169</v>
      </c>
      <c r="H12" s="373">
        <v>378918.36</v>
      </c>
      <c r="I12" s="376">
        <f>IF(X12 = 20, H12 + SUM(S12:S15) - SUM(T12:T15) - SUM(P12:P15) - V12,0)</f>
        <v>304699.27</v>
      </c>
      <c r="J12" s="379">
        <v>2308119595</v>
      </c>
      <c r="K12" s="382" t="s">
        <v>149</v>
      </c>
      <c r="L12" s="351" t="s">
        <v>146</v>
      </c>
      <c r="M12" s="351"/>
      <c r="N12" s="184">
        <v>45292</v>
      </c>
      <c r="O12" s="367" t="s">
        <v>170</v>
      </c>
      <c r="P12" s="175">
        <v>14788.98</v>
      </c>
      <c r="Q12" s="176">
        <v>45309</v>
      </c>
      <c r="R12" s="177"/>
      <c r="S12" s="175"/>
      <c r="T12" s="175"/>
      <c r="U12" s="373"/>
      <c r="V12" s="354"/>
      <c r="W12" s="364"/>
      <c r="X12" s="107">
        <v>20</v>
      </c>
    </row>
    <row r="13" spans="1:24" s="2" customFormat="1" x14ac:dyDescent="0.3">
      <c r="A13" s="358"/>
      <c r="B13" s="352"/>
      <c r="C13" s="352"/>
      <c r="D13" s="352"/>
      <c r="E13" s="352"/>
      <c r="F13" s="368"/>
      <c r="G13" s="371"/>
      <c r="H13" s="374"/>
      <c r="I13" s="377"/>
      <c r="J13" s="380"/>
      <c r="K13" s="383"/>
      <c r="L13" s="352"/>
      <c r="M13" s="352"/>
      <c r="N13" s="185">
        <v>45323</v>
      </c>
      <c r="O13" s="368"/>
      <c r="P13" s="178">
        <v>11091.73</v>
      </c>
      <c r="Q13" s="179">
        <v>45323</v>
      </c>
      <c r="R13" s="180"/>
      <c r="S13" s="178"/>
      <c r="T13" s="178"/>
      <c r="U13" s="374"/>
      <c r="V13" s="355"/>
      <c r="W13" s="365"/>
      <c r="X13" s="2">
        <v>20</v>
      </c>
    </row>
    <row r="14" spans="1:24" s="2" customFormat="1" x14ac:dyDescent="0.3">
      <c r="A14" s="358"/>
      <c r="B14" s="352"/>
      <c r="C14" s="352"/>
      <c r="D14" s="352"/>
      <c r="E14" s="352"/>
      <c r="F14" s="368"/>
      <c r="G14" s="371"/>
      <c r="H14" s="374"/>
      <c r="I14" s="377"/>
      <c r="J14" s="380"/>
      <c r="K14" s="383"/>
      <c r="L14" s="352"/>
      <c r="M14" s="352"/>
      <c r="N14" s="185">
        <v>45322</v>
      </c>
      <c r="O14" s="368"/>
      <c r="P14" s="178">
        <v>24763.91</v>
      </c>
      <c r="Q14" s="179">
        <v>45337</v>
      </c>
      <c r="R14" s="180"/>
      <c r="S14" s="178"/>
      <c r="T14" s="178"/>
      <c r="U14" s="374"/>
      <c r="V14" s="355"/>
      <c r="W14" s="365"/>
      <c r="X14" s="2">
        <v>20</v>
      </c>
    </row>
    <row r="15" spans="1:24" s="2" customFormat="1" x14ac:dyDescent="0.3">
      <c r="A15" s="359"/>
      <c r="B15" s="353"/>
      <c r="C15" s="353"/>
      <c r="D15" s="353"/>
      <c r="E15" s="353"/>
      <c r="F15" s="369"/>
      <c r="G15" s="372"/>
      <c r="H15" s="375"/>
      <c r="I15" s="378"/>
      <c r="J15" s="381"/>
      <c r="K15" s="384"/>
      <c r="L15" s="353"/>
      <c r="M15" s="353"/>
      <c r="N15" s="186">
        <v>45323</v>
      </c>
      <c r="O15" s="369"/>
      <c r="P15" s="181">
        <v>23574.47</v>
      </c>
      <c r="Q15" s="182">
        <v>45337</v>
      </c>
      <c r="R15" s="183"/>
      <c r="S15" s="181"/>
      <c r="T15" s="181"/>
      <c r="U15" s="375"/>
      <c r="V15" s="356"/>
      <c r="W15" s="366"/>
      <c r="X15" s="2">
        <v>20</v>
      </c>
    </row>
    <row r="16" spans="1:24" s="107" customFormat="1" ht="72" x14ac:dyDescent="0.3">
      <c r="A16" s="119">
        <v>4</v>
      </c>
      <c r="B16" s="120" t="s">
        <v>56</v>
      </c>
      <c r="C16" s="120" t="s">
        <v>146</v>
      </c>
      <c r="D16" s="120" t="s">
        <v>147</v>
      </c>
      <c r="E16" s="120" t="s">
        <v>174</v>
      </c>
      <c r="F16" s="128">
        <v>45289</v>
      </c>
      <c r="G16" s="121" t="s">
        <v>148</v>
      </c>
      <c r="H16" s="122">
        <v>46882.29</v>
      </c>
      <c r="I16" s="123">
        <f>IF(X16 = 21, H16 + SUM(S16:S16) - SUM(T16:T16) - SUM(P16:P16) - V16,0)</f>
        <v>43110.92</v>
      </c>
      <c r="J16" s="124">
        <v>2308131994</v>
      </c>
      <c r="K16" s="125" t="s">
        <v>163</v>
      </c>
      <c r="L16" s="120" t="s">
        <v>146</v>
      </c>
      <c r="M16" s="120"/>
      <c r="N16" s="128">
        <v>45322</v>
      </c>
      <c r="O16" s="128" t="s">
        <v>171</v>
      </c>
      <c r="P16" s="122">
        <v>3771.37</v>
      </c>
      <c r="Q16" s="121">
        <v>45324</v>
      </c>
      <c r="R16" s="120"/>
      <c r="S16" s="122"/>
      <c r="T16" s="122"/>
      <c r="U16" s="122"/>
      <c r="V16" s="126"/>
      <c r="W16" s="127"/>
      <c r="X16" s="107">
        <v>21</v>
      </c>
    </row>
    <row r="17" spans="1:24" s="107" customFormat="1" ht="187.5" customHeight="1" x14ac:dyDescent="0.3">
      <c r="A17" s="303">
        <v>5</v>
      </c>
      <c r="B17" s="311" t="s">
        <v>56</v>
      </c>
      <c r="C17" s="311" t="s">
        <v>146</v>
      </c>
      <c r="D17" s="311" t="s">
        <v>147</v>
      </c>
      <c r="E17" s="311" t="s">
        <v>36</v>
      </c>
      <c r="F17" s="305">
        <v>45289</v>
      </c>
      <c r="G17" s="317" t="s">
        <v>198</v>
      </c>
      <c r="H17" s="309">
        <v>17500</v>
      </c>
      <c r="I17" s="319">
        <f>IF(X17 = 22, H17 + SUM(S17:S21) - SUM(T17:T21) - SUM(P17:P21) - V17,0)</f>
        <v>12500</v>
      </c>
      <c r="J17" s="321">
        <v>235301271520</v>
      </c>
      <c r="K17" s="323" t="s">
        <v>158</v>
      </c>
      <c r="L17" s="311" t="s">
        <v>146</v>
      </c>
      <c r="M17" s="311"/>
      <c r="N17" s="137">
        <v>45315</v>
      </c>
      <c r="O17" s="305" t="s">
        <v>195</v>
      </c>
      <c r="P17" s="138">
        <v>2500</v>
      </c>
      <c r="Q17" s="139">
        <v>45316</v>
      </c>
      <c r="R17" s="140"/>
      <c r="S17" s="138"/>
      <c r="T17" s="138"/>
      <c r="U17" s="309"/>
      <c r="V17" s="313"/>
      <c r="W17" s="315"/>
      <c r="X17" s="107">
        <v>22</v>
      </c>
    </row>
    <row r="18" spans="1:24" s="2" customFormat="1" x14ac:dyDescent="0.3">
      <c r="A18" s="304"/>
      <c r="B18" s="312"/>
      <c r="C18" s="312"/>
      <c r="D18" s="312"/>
      <c r="E18" s="312"/>
      <c r="F18" s="306"/>
      <c r="G18" s="318"/>
      <c r="H18" s="310"/>
      <c r="I18" s="320"/>
      <c r="J18" s="322"/>
      <c r="K18" s="324"/>
      <c r="L18" s="312"/>
      <c r="M18" s="312"/>
      <c r="N18" s="145">
        <v>45349</v>
      </c>
      <c r="O18" s="306"/>
      <c r="P18" s="146">
        <v>2500</v>
      </c>
      <c r="Q18" s="147">
        <v>45349</v>
      </c>
      <c r="R18" s="148"/>
      <c r="S18" s="146"/>
      <c r="T18" s="146"/>
      <c r="U18" s="310"/>
      <c r="V18" s="314"/>
      <c r="W18" s="316"/>
      <c r="X18" s="2">
        <v>22</v>
      </c>
    </row>
    <row r="19" spans="1:24" s="2" customFormat="1" x14ac:dyDescent="0.3">
      <c r="A19" s="304"/>
      <c r="B19" s="312"/>
      <c r="C19" s="312"/>
      <c r="D19" s="312"/>
      <c r="E19" s="312"/>
      <c r="F19" s="306"/>
      <c r="G19" s="318"/>
      <c r="H19" s="310"/>
      <c r="I19" s="320"/>
      <c r="J19" s="322"/>
      <c r="K19" s="324"/>
      <c r="L19" s="312"/>
      <c r="M19" s="312"/>
      <c r="N19" s="145"/>
      <c r="O19" s="306"/>
      <c r="P19" s="146"/>
      <c r="Q19" s="147"/>
      <c r="R19" s="148"/>
      <c r="S19" s="146"/>
      <c r="T19" s="146"/>
      <c r="U19" s="310"/>
      <c r="V19" s="314"/>
      <c r="W19" s="316"/>
      <c r="X19" s="2">
        <v>22</v>
      </c>
    </row>
    <row r="20" spans="1:24" s="2" customFormat="1" x14ac:dyDescent="0.3">
      <c r="A20" s="304"/>
      <c r="B20" s="312"/>
      <c r="C20" s="312"/>
      <c r="D20" s="312"/>
      <c r="E20" s="312"/>
      <c r="F20" s="306"/>
      <c r="G20" s="318"/>
      <c r="H20" s="310"/>
      <c r="I20" s="320"/>
      <c r="J20" s="322"/>
      <c r="K20" s="324"/>
      <c r="L20" s="312"/>
      <c r="M20" s="312"/>
      <c r="N20" s="145"/>
      <c r="O20" s="306"/>
      <c r="P20" s="146"/>
      <c r="Q20" s="147"/>
      <c r="R20" s="148"/>
      <c r="S20" s="146"/>
      <c r="T20" s="146"/>
      <c r="U20" s="310"/>
      <c r="V20" s="314"/>
      <c r="W20" s="316"/>
      <c r="X20" s="2">
        <v>22</v>
      </c>
    </row>
    <row r="21" spans="1:24" s="2" customFormat="1" x14ac:dyDescent="0.3">
      <c r="A21" s="304"/>
      <c r="B21" s="312"/>
      <c r="C21" s="312"/>
      <c r="D21" s="312"/>
      <c r="E21" s="312"/>
      <c r="F21" s="306"/>
      <c r="G21" s="318"/>
      <c r="H21" s="310"/>
      <c r="I21" s="320"/>
      <c r="J21" s="322"/>
      <c r="K21" s="324"/>
      <c r="L21" s="312"/>
      <c r="M21" s="312"/>
      <c r="N21" s="145"/>
      <c r="O21" s="306"/>
      <c r="P21" s="146"/>
      <c r="Q21" s="147"/>
      <c r="R21" s="148"/>
      <c r="S21" s="146"/>
      <c r="T21" s="146"/>
      <c r="U21" s="310"/>
      <c r="V21" s="314"/>
      <c r="W21" s="316"/>
      <c r="X21" s="2">
        <v>22</v>
      </c>
    </row>
    <row r="22" spans="1:24" s="107" customFormat="1" ht="187.5" customHeight="1" x14ac:dyDescent="0.3">
      <c r="A22" s="303">
        <v>6</v>
      </c>
      <c r="B22" s="311" t="s">
        <v>56</v>
      </c>
      <c r="C22" s="311" t="s">
        <v>146</v>
      </c>
      <c r="D22" s="311" t="s">
        <v>147</v>
      </c>
      <c r="E22" s="311" t="s">
        <v>110</v>
      </c>
      <c r="F22" s="305">
        <v>45289</v>
      </c>
      <c r="G22" s="317" t="s">
        <v>199</v>
      </c>
      <c r="H22" s="309">
        <v>15600</v>
      </c>
      <c r="I22" s="319">
        <f>IF(X22 = 23, H22 + SUM(S22:S26) - SUM(T22:T26) - SUM(P22:P26) - V22,0)</f>
        <v>11200</v>
      </c>
      <c r="J22" s="321">
        <v>231107998282</v>
      </c>
      <c r="K22" s="323" t="s">
        <v>200</v>
      </c>
      <c r="L22" s="311" t="s">
        <v>146</v>
      </c>
      <c r="M22" s="311"/>
      <c r="N22" s="137">
        <v>45315</v>
      </c>
      <c r="O22" s="305" t="s">
        <v>195</v>
      </c>
      <c r="P22" s="138">
        <v>2200</v>
      </c>
      <c r="Q22" s="139">
        <v>45324</v>
      </c>
      <c r="R22" s="140"/>
      <c r="S22" s="138"/>
      <c r="T22" s="138"/>
      <c r="U22" s="309"/>
      <c r="V22" s="313"/>
      <c r="W22" s="315"/>
      <c r="X22" s="107">
        <v>23</v>
      </c>
    </row>
    <row r="23" spans="1:24" s="2" customFormat="1" x14ac:dyDescent="0.3">
      <c r="A23" s="304"/>
      <c r="B23" s="312"/>
      <c r="C23" s="312"/>
      <c r="D23" s="312"/>
      <c r="E23" s="312"/>
      <c r="F23" s="306"/>
      <c r="G23" s="318"/>
      <c r="H23" s="310"/>
      <c r="I23" s="320"/>
      <c r="J23" s="322"/>
      <c r="K23" s="324"/>
      <c r="L23" s="312"/>
      <c r="M23" s="312"/>
      <c r="N23" s="145">
        <v>45351</v>
      </c>
      <c r="O23" s="306"/>
      <c r="P23" s="146">
        <v>2200</v>
      </c>
      <c r="Q23" s="147">
        <v>45351</v>
      </c>
      <c r="R23" s="148"/>
      <c r="S23" s="146"/>
      <c r="T23" s="146"/>
      <c r="U23" s="310"/>
      <c r="V23" s="314"/>
      <c r="W23" s="316"/>
      <c r="X23" s="2">
        <v>23</v>
      </c>
    </row>
    <row r="24" spans="1:24" s="2" customFormat="1" x14ac:dyDescent="0.3">
      <c r="A24" s="304"/>
      <c r="B24" s="312"/>
      <c r="C24" s="312"/>
      <c r="D24" s="312"/>
      <c r="E24" s="312"/>
      <c r="F24" s="306"/>
      <c r="G24" s="318"/>
      <c r="H24" s="310"/>
      <c r="I24" s="320"/>
      <c r="J24" s="322"/>
      <c r="K24" s="324"/>
      <c r="L24" s="312"/>
      <c r="M24" s="312"/>
      <c r="N24" s="145"/>
      <c r="O24" s="306"/>
      <c r="P24" s="146"/>
      <c r="Q24" s="147"/>
      <c r="R24" s="148"/>
      <c r="S24" s="146"/>
      <c r="T24" s="146"/>
      <c r="U24" s="310"/>
      <c r="V24" s="314"/>
      <c r="W24" s="316"/>
      <c r="X24" s="2">
        <v>23</v>
      </c>
    </row>
    <row r="25" spans="1:24" s="2" customFormat="1" x14ac:dyDescent="0.3">
      <c r="A25" s="304"/>
      <c r="B25" s="312"/>
      <c r="C25" s="312"/>
      <c r="D25" s="312"/>
      <c r="E25" s="312"/>
      <c r="F25" s="306"/>
      <c r="G25" s="318"/>
      <c r="H25" s="310"/>
      <c r="I25" s="320"/>
      <c r="J25" s="322"/>
      <c r="K25" s="324"/>
      <c r="L25" s="312"/>
      <c r="M25" s="312"/>
      <c r="N25" s="145"/>
      <c r="O25" s="306"/>
      <c r="P25" s="146"/>
      <c r="Q25" s="147"/>
      <c r="R25" s="148"/>
      <c r="S25" s="146"/>
      <c r="T25" s="146"/>
      <c r="U25" s="310"/>
      <c r="V25" s="314"/>
      <c r="W25" s="316"/>
      <c r="X25" s="2">
        <v>23</v>
      </c>
    </row>
    <row r="26" spans="1:24" s="2" customFormat="1" x14ac:dyDescent="0.3">
      <c r="A26" s="325"/>
      <c r="B26" s="328"/>
      <c r="C26" s="328"/>
      <c r="D26" s="328"/>
      <c r="E26" s="328"/>
      <c r="F26" s="326"/>
      <c r="G26" s="331"/>
      <c r="H26" s="327"/>
      <c r="I26" s="332"/>
      <c r="J26" s="333"/>
      <c r="K26" s="334"/>
      <c r="L26" s="328"/>
      <c r="M26" s="328"/>
      <c r="N26" s="141"/>
      <c r="O26" s="326"/>
      <c r="P26" s="142"/>
      <c r="Q26" s="143"/>
      <c r="R26" s="144"/>
      <c r="S26" s="142"/>
      <c r="T26" s="142"/>
      <c r="U26" s="327"/>
      <c r="V26" s="329"/>
      <c r="W26" s="330"/>
      <c r="X26" s="2">
        <v>23</v>
      </c>
    </row>
    <row r="27" spans="1:24" s="107" customFormat="1" ht="108" x14ac:dyDescent="0.3">
      <c r="A27" s="119">
        <v>7</v>
      </c>
      <c r="B27" s="120" t="s">
        <v>56</v>
      </c>
      <c r="C27" s="120" t="s">
        <v>146</v>
      </c>
      <c r="D27" s="120" t="s">
        <v>178</v>
      </c>
      <c r="E27" s="120" t="s">
        <v>196</v>
      </c>
      <c r="F27" s="128">
        <v>45289</v>
      </c>
      <c r="G27" s="121" t="s">
        <v>197</v>
      </c>
      <c r="H27" s="122">
        <v>1200</v>
      </c>
      <c r="I27" s="123">
        <f>IF(X27 = 24, H27 + SUM(S27:S27) - SUM(T27:T27) - SUM(P27:P27) - V27,0)</f>
        <v>0</v>
      </c>
      <c r="J27" s="124">
        <v>2369000660</v>
      </c>
      <c r="K27" s="125" t="s">
        <v>157</v>
      </c>
      <c r="L27" s="120" t="s">
        <v>146</v>
      </c>
      <c r="M27" s="120"/>
      <c r="N27" s="128"/>
      <c r="O27" s="128" t="s">
        <v>195</v>
      </c>
      <c r="P27" s="122">
        <v>1200</v>
      </c>
      <c r="Q27" s="121">
        <v>45351</v>
      </c>
      <c r="R27" s="120"/>
      <c r="S27" s="122"/>
      <c r="T27" s="122"/>
      <c r="U27" s="122"/>
      <c r="V27" s="126"/>
      <c r="W27" s="127"/>
      <c r="X27" s="107">
        <v>24</v>
      </c>
    </row>
    <row r="28" spans="1:24" s="107" customFormat="1" ht="131.25" customHeight="1" x14ac:dyDescent="0.3">
      <c r="A28" s="360">
        <v>8</v>
      </c>
      <c r="B28" s="337" t="s">
        <v>56</v>
      </c>
      <c r="C28" s="337" t="s">
        <v>146</v>
      </c>
      <c r="D28" s="337" t="s">
        <v>179</v>
      </c>
      <c r="E28" s="337" t="s">
        <v>111</v>
      </c>
      <c r="F28" s="339">
        <v>45289</v>
      </c>
      <c r="G28" s="341" t="s">
        <v>201</v>
      </c>
      <c r="H28" s="343">
        <v>26400</v>
      </c>
      <c r="I28" s="345">
        <f>IF(X28 = 25, H28 + SUM(S28:S29) - SUM(T28:T29) - SUM(P28:P29) - V28,0)</f>
        <v>23800</v>
      </c>
      <c r="J28" s="347">
        <v>231107998282</v>
      </c>
      <c r="K28" s="349" t="s">
        <v>200</v>
      </c>
      <c r="L28" s="337" t="s">
        <v>146</v>
      </c>
      <c r="M28" s="337"/>
      <c r="N28" s="129">
        <v>45315</v>
      </c>
      <c r="O28" s="339" t="s">
        <v>195</v>
      </c>
      <c r="P28" s="130">
        <v>1300</v>
      </c>
      <c r="Q28" s="131">
        <v>45324</v>
      </c>
      <c r="R28" s="132"/>
      <c r="S28" s="130"/>
      <c r="T28" s="130"/>
      <c r="U28" s="343"/>
      <c r="V28" s="362"/>
      <c r="W28" s="335"/>
      <c r="X28" s="107">
        <v>25</v>
      </c>
    </row>
    <row r="29" spans="1:24" s="2" customFormat="1" x14ac:dyDescent="0.3">
      <c r="A29" s="361"/>
      <c r="B29" s="338"/>
      <c r="C29" s="338"/>
      <c r="D29" s="338"/>
      <c r="E29" s="338"/>
      <c r="F29" s="340"/>
      <c r="G29" s="342"/>
      <c r="H29" s="344"/>
      <c r="I29" s="346"/>
      <c r="J29" s="348"/>
      <c r="K29" s="350"/>
      <c r="L29" s="338"/>
      <c r="M29" s="338"/>
      <c r="N29" s="133">
        <v>45351</v>
      </c>
      <c r="O29" s="340"/>
      <c r="P29" s="134">
        <v>1300</v>
      </c>
      <c r="Q29" s="135">
        <v>45351</v>
      </c>
      <c r="R29" s="136"/>
      <c r="S29" s="134"/>
      <c r="T29" s="134"/>
      <c r="U29" s="344"/>
      <c r="V29" s="363"/>
      <c r="W29" s="336"/>
      <c r="X29" s="2">
        <v>25</v>
      </c>
    </row>
    <row r="30" spans="1:24" s="107" customFormat="1" ht="108" customHeight="1" x14ac:dyDescent="0.3">
      <c r="A30" s="276">
        <v>9</v>
      </c>
      <c r="B30" s="266" t="s">
        <v>56</v>
      </c>
      <c r="C30" s="266" t="s">
        <v>146</v>
      </c>
      <c r="D30" s="266" t="s">
        <v>147</v>
      </c>
      <c r="E30" s="266" t="s">
        <v>112</v>
      </c>
      <c r="F30" s="270">
        <v>45289</v>
      </c>
      <c r="G30" s="287" t="s">
        <v>202</v>
      </c>
      <c r="H30" s="272">
        <v>205534.8</v>
      </c>
      <c r="I30" s="274">
        <f>IF(X30 = 26, H30 + SUM(S30:S36) - SUM(T30:T36) - SUM(P30:P36) - V30,0)</f>
        <v>157902.79999999999</v>
      </c>
      <c r="J30" s="289">
        <v>2353020735</v>
      </c>
      <c r="K30" s="291" t="s">
        <v>156</v>
      </c>
      <c r="L30" s="266" t="s">
        <v>146</v>
      </c>
      <c r="M30" s="266"/>
      <c r="N30" s="199">
        <v>45322</v>
      </c>
      <c r="O30" s="270" t="s">
        <v>195</v>
      </c>
      <c r="P30" s="193">
        <v>450</v>
      </c>
      <c r="Q30" s="194">
        <v>45334</v>
      </c>
      <c r="R30" s="195"/>
      <c r="S30" s="193"/>
      <c r="T30" s="193"/>
      <c r="U30" s="272"/>
      <c r="V30" s="285"/>
      <c r="W30" s="264"/>
      <c r="X30" s="107">
        <v>26</v>
      </c>
    </row>
    <row r="31" spans="1:24" s="2" customFormat="1" x14ac:dyDescent="0.3">
      <c r="A31" s="298"/>
      <c r="B31" s="293"/>
      <c r="C31" s="293"/>
      <c r="D31" s="293"/>
      <c r="E31" s="293"/>
      <c r="F31" s="294"/>
      <c r="G31" s="299"/>
      <c r="H31" s="295"/>
      <c r="I31" s="300"/>
      <c r="J31" s="301"/>
      <c r="K31" s="302"/>
      <c r="L31" s="293"/>
      <c r="M31" s="293"/>
      <c r="N31" s="201">
        <v>45322</v>
      </c>
      <c r="O31" s="294"/>
      <c r="P31" s="202">
        <v>1413</v>
      </c>
      <c r="Q31" s="203">
        <v>45334</v>
      </c>
      <c r="R31" s="204"/>
      <c r="S31" s="202"/>
      <c r="T31" s="202"/>
      <c r="U31" s="295"/>
      <c r="V31" s="296"/>
      <c r="W31" s="297"/>
      <c r="X31" s="2">
        <v>26</v>
      </c>
    </row>
    <row r="32" spans="1:24" s="2" customFormat="1" x14ac:dyDescent="0.3">
      <c r="A32" s="298"/>
      <c r="B32" s="293"/>
      <c r="C32" s="293"/>
      <c r="D32" s="293"/>
      <c r="E32" s="293"/>
      <c r="F32" s="294"/>
      <c r="G32" s="299"/>
      <c r="H32" s="295"/>
      <c r="I32" s="300"/>
      <c r="J32" s="301"/>
      <c r="K32" s="302"/>
      <c r="L32" s="293"/>
      <c r="M32" s="293"/>
      <c r="N32" s="201">
        <v>45322</v>
      </c>
      <c r="O32" s="294"/>
      <c r="P32" s="202">
        <v>2998.4</v>
      </c>
      <c r="Q32" s="203">
        <v>45334</v>
      </c>
      <c r="R32" s="204"/>
      <c r="S32" s="202"/>
      <c r="T32" s="202"/>
      <c r="U32" s="295"/>
      <c r="V32" s="296"/>
      <c r="W32" s="297"/>
      <c r="X32" s="2">
        <v>26</v>
      </c>
    </row>
    <row r="33" spans="1:24" s="2" customFormat="1" x14ac:dyDescent="0.3">
      <c r="A33" s="298"/>
      <c r="B33" s="293"/>
      <c r="C33" s="293"/>
      <c r="D33" s="293"/>
      <c r="E33" s="293"/>
      <c r="F33" s="294"/>
      <c r="G33" s="299"/>
      <c r="H33" s="295"/>
      <c r="I33" s="300"/>
      <c r="J33" s="301"/>
      <c r="K33" s="302"/>
      <c r="L33" s="293"/>
      <c r="M33" s="293"/>
      <c r="N33" s="201">
        <v>45322</v>
      </c>
      <c r="O33" s="294"/>
      <c r="P33" s="202">
        <v>960</v>
      </c>
      <c r="Q33" s="203">
        <v>45334</v>
      </c>
      <c r="R33" s="204"/>
      <c r="S33" s="202"/>
      <c r="T33" s="202"/>
      <c r="U33" s="295"/>
      <c r="V33" s="296"/>
      <c r="W33" s="297"/>
      <c r="X33" s="2">
        <v>26</v>
      </c>
    </row>
    <row r="34" spans="1:24" s="2" customFormat="1" x14ac:dyDescent="0.3">
      <c r="A34" s="298"/>
      <c r="B34" s="293"/>
      <c r="C34" s="293"/>
      <c r="D34" s="293"/>
      <c r="E34" s="293"/>
      <c r="F34" s="294"/>
      <c r="G34" s="299"/>
      <c r="H34" s="295"/>
      <c r="I34" s="300"/>
      <c r="J34" s="301"/>
      <c r="K34" s="302"/>
      <c r="L34" s="293"/>
      <c r="M34" s="293"/>
      <c r="N34" s="201">
        <v>45322</v>
      </c>
      <c r="O34" s="294"/>
      <c r="P34" s="202">
        <v>10140</v>
      </c>
      <c r="Q34" s="203">
        <v>45334</v>
      </c>
      <c r="R34" s="204"/>
      <c r="S34" s="202"/>
      <c r="T34" s="202"/>
      <c r="U34" s="295"/>
      <c r="V34" s="296"/>
      <c r="W34" s="297"/>
      <c r="X34" s="2">
        <v>26</v>
      </c>
    </row>
    <row r="35" spans="1:24" s="2" customFormat="1" x14ac:dyDescent="0.3">
      <c r="A35" s="298"/>
      <c r="B35" s="293"/>
      <c r="C35" s="293"/>
      <c r="D35" s="293"/>
      <c r="E35" s="293"/>
      <c r="F35" s="294"/>
      <c r="G35" s="299"/>
      <c r="H35" s="295"/>
      <c r="I35" s="300"/>
      <c r="J35" s="301"/>
      <c r="K35" s="302"/>
      <c r="L35" s="293"/>
      <c r="M35" s="293"/>
      <c r="N35" s="201">
        <v>45322</v>
      </c>
      <c r="O35" s="294"/>
      <c r="P35" s="202">
        <v>17418.759999999998</v>
      </c>
      <c r="Q35" s="203">
        <v>45334</v>
      </c>
      <c r="R35" s="204"/>
      <c r="S35" s="202"/>
      <c r="T35" s="202"/>
      <c r="U35" s="295"/>
      <c r="V35" s="296"/>
      <c r="W35" s="297"/>
      <c r="X35" s="2">
        <v>26</v>
      </c>
    </row>
    <row r="36" spans="1:24" s="2" customFormat="1" x14ac:dyDescent="0.3">
      <c r="A36" s="277"/>
      <c r="B36" s="267"/>
      <c r="C36" s="267"/>
      <c r="D36" s="267"/>
      <c r="E36" s="267"/>
      <c r="F36" s="271"/>
      <c r="G36" s="288"/>
      <c r="H36" s="273"/>
      <c r="I36" s="275"/>
      <c r="J36" s="290"/>
      <c r="K36" s="292"/>
      <c r="L36" s="267"/>
      <c r="M36" s="267"/>
      <c r="N36" s="200">
        <v>45322</v>
      </c>
      <c r="O36" s="271"/>
      <c r="P36" s="196">
        <v>14251.84</v>
      </c>
      <c r="Q36" s="197">
        <v>45334</v>
      </c>
      <c r="R36" s="198"/>
      <c r="S36" s="196"/>
      <c r="T36" s="196"/>
      <c r="U36" s="273"/>
      <c r="V36" s="286"/>
      <c r="W36" s="265"/>
      <c r="X36" s="2">
        <v>26</v>
      </c>
    </row>
    <row r="37" spans="1:24" s="107" customFormat="1" ht="108" customHeight="1" x14ac:dyDescent="0.3">
      <c r="A37" s="276">
        <v>10</v>
      </c>
      <c r="B37" s="266" t="s">
        <v>56</v>
      </c>
      <c r="C37" s="266" t="s">
        <v>146</v>
      </c>
      <c r="D37" s="266" t="s">
        <v>147</v>
      </c>
      <c r="E37" s="266" t="s">
        <v>114</v>
      </c>
      <c r="F37" s="270">
        <v>45289</v>
      </c>
      <c r="G37" s="287" t="s">
        <v>203</v>
      </c>
      <c r="H37" s="272">
        <v>121197.6</v>
      </c>
      <c r="I37" s="274">
        <f>IF(X37 = 27, H37 + SUM(S37:S39) - SUM(T37:T39) - SUM(P37:P39) - V37,0)</f>
        <v>97113.200000000012</v>
      </c>
      <c r="J37" s="289">
        <v>2353020735</v>
      </c>
      <c r="K37" s="291" t="s">
        <v>156</v>
      </c>
      <c r="L37" s="266" t="s">
        <v>146</v>
      </c>
      <c r="M37" s="266"/>
      <c r="N37" s="199">
        <v>45322</v>
      </c>
      <c r="O37" s="270" t="s">
        <v>166</v>
      </c>
      <c r="P37" s="193">
        <v>17262</v>
      </c>
      <c r="Q37" s="194">
        <v>45334</v>
      </c>
      <c r="R37" s="195"/>
      <c r="S37" s="193"/>
      <c r="T37" s="193"/>
      <c r="U37" s="272"/>
      <c r="V37" s="285"/>
      <c r="W37" s="264"/>
      <c r="X37" s="107">
        <v>27</v>
      </c>
    </row>
    <row r="38" spans="1:24" s="2" customFormat="1" x14ac:dyDescent="0.3">
      <c r="A38" s="298"/>
      <c r="B38" s="293"/>
      <c r="C38" s="293"/>
      <c r="D38" s="293"/>
      <c r="E38" s="293"/>
      <c r="F38" s="294"/>
      <c r="G38" s="299"/>
      <c r="H38" s="295"/>
      <c r="I38" s="300"/>
      <c r="J38" s="301"/>
      <c r="K38" s="302"/>
      <c r="L38" s="293"/>
      <c r="M38" s="293"/>
      <c r="N38" s="201">
        <v>45322</v>
      </c>
      <c r="O38" s="294"/>
      <c r="P38" s="202">
        <v>6822.4</v>
      </c>
      <c r="Q38" s="203">
        <v>45334</v>
      </c>
      <c r="R38" s="204"/>
      <c r="S38" s="202"/>
      <c r="T38" s="202"/>
      <c r="U38" s="295"/>
      <c r="V38" s="296"/>
      <c r="W38" s="297"/>
      <c r="X38" s="2">
        <v>27</v>
      </c>
    </row>
    <row r="39" spans="1:24" s="2" customFormat="1" x14ac:dyDescent="0.3">
      <c r="A39" s="277"/>
      <c r="B39" s="267"/>
      <c r="C39" s="267"/>
      <c r="D39" s="267"/>
      <c r="E39" s="267"/>
      <c r="F39" s="271"/>
      <c r="G39" s="288"/>
      <c r="H39" s="273"/>
      <c r="I39" s="275"/>
      <c r="J39" s="290"/>
      <c r="K39" s="292"/>
      <c r="L39" s="267"/>
      <c r="M39" s="267"/>
      <c r="N39" s="200"/>
      <c r="O39" s="271"/>
      <c r="P39" s="196"/>
      <c r="Q39" s="197"/>
      <c r="R39" s="198"/>
      <c r="S39" s="196"/>
      <c r="T39" s="196"/>
      <c r="U39" s="273"/>
      <c r="V39" s="286"/>
      <c r="W39" s="265"/>
      <c r="X39" s="2">
        <v>27</v>
      </c>
    </row>
    <row r="40" spans="1:24" s="107" customFormat="1" ht="162" customHeight="1" x14ac:dyDescent="0.3">
      <c r="A40" s="276">
        <v>11</v>
      </c>
      <c r="B40" s="266" t="s">
        <v>56</v>
      </c>
      <c r="C40" s="266" t="s">
        <v>146</v>
      </c>
      <c r="D40" s="266" t="s">
        <v>147</v>
      </c>
      <c r="E40" s="266" t="s">
        <v>204</v>
      </c>
      <c r="F40" s="270">
        <v>45290</v>
      </c>
      <c r="G40" s="287" t="s">
        <v>205</v>
      </c>
      <c r="H40" s="272">
        <v>45600</v>
      </c>
      <c r="I40" s="274">
        <f>IF(X40 = 28, H40 + SUM(S40:S42) - SUM(T40:T42) - SUM(P40:P42) - V40,0)</f>
        <v>25700</v>
      </c>
      <c r="J40" s="289">
        <v>235305769122</v>
      </c>
      <c r="K40" s="291" t="s">
        <v>160</v>
      </c>
      <c r="L40" s="266" t="s">
        <v>146</v>
      </c>
      <c r="M40" s="266"/>
      <c r="N40" s="199">
        <v>45322</v>
      </c>
      <c r="O40" s="270" t="s">
        <v>195</v>
      </c>
      <c r="P40" s="193">
        <v>5600</v>
      </c>
      <c r="Q40" s="194">
        <v>45330</v>
      </c>
      <c r="R40" s="195"/>
      <c r="S40" s="193"/>
      <c r="T40" s="193"/>
      <c r="U40" s="272"/>
      <c r="V40" s="285"/>
      <c r="W40" s="264"/>
      <c r="X40" s="107">
        <v>28</v>
      </c>
    </row>
    <row r="41" spans="1:24" s="2" customFormat="1" x14ac:dyDescent="0.3">
      <c r="A41" s="298"/>
      <c r="B41" s="293"/>
      <c r="C41" s="293"/>
      <c r="D41" s="293"/>
      <c r="E41" s="293"/>
      <c r="F41" s="294"/>
      <c r="G41" s="299"/>
      <c r="H41" s="295"/>
      <c r="I41" s="300"/>
      <c r="J41" s="301"/>
      <c r="K41" s="302"/>
      <c r="L41" s="293"/>
      <c r="M41" s="293"/>
      <c r="N41" s="201">
        <v>45322</v>
      </c>
      <c r="O41" s="294"/>
      <c r="P41" s="202">
        <v>6240</v>
      </c>
      <c r="Q41" s="203">
        <v>45330</v>
      </c>
      <c r="R41" s="204"/>
      <c r="S41" s="202"/>
      <c r="T41" s="202"/>
      <c r="U41" s="295"/>
      <c r="V41" s="296"/>
      <c r="W41" s="297"/>
      <c r="X41" s="2">
        <v>28</v>
      </c>
    </row>
    <row r="42" spans="1:24" s="2" customFormat="1" x14ac:dyDescent="0.3">
      <c r="A42" s="277"/>
      <c r="B42" s="267"/>
      <c r="C42" s="267"/>
      <c r="D42" s="267"/>
      <c r="E42" s="267"/>
      <c r="F42" s="271"/>
      <c r="G42" s="288"/>
      <c r="H42" s="273"/>
      <c r="I42" s="275"/>
      <c r="J42" s="290"/>
      <c r="K42" s="292"/>
      <c r="L42" s="267"/>
      <c r="M42" s="267"/>
      <c r="N42" s="200">
        <v>45322</v>
      </c>
      <c r="O42" s="271"/>
      <c r="P42" s="196">
        <v>8060</v>
      </c>
      <c r="Q42" s="197">
        <v>45330</v>
      </c>
      <c r="R42" s="198"/>
      <c r="S42" s="196"/>
      <c r="T42" s="196"/>
      <c r="U42" s="273"/>
      <c r="V42" s="286"/>
      <c r="W42" s="265"/>
      <c r="X42" s="2">
        <v>28</v>
      </c>
    </row>
    <row r="43" spans="1:24" s="107" customFormat="1" ht="131.25" customHeight="1" x14ac:dyDescent="0.3">
      <c r="A43" s="303">
        <v>12</v>
      </c>
      <c r="B43" s="311" t="s">
        <v>56</v>
      </c>
      <c r="C43" s="311" t="s">
        <v>146</v>
      </c>
      <c r="D43" s="311" t="s">
        <v>147</v>
      </c>
      <c r="E43" s="311" t="s">
        <v>117</v>
      </c>
      <c r="F43" s="305">
        <v>45309</v>
      </c>
      <c r="G43" s="317" t="s">
        <v>206</v>
      </c>
      <c r="H43" s="309">
        <v>26568</v>
      </c>
      <c r="I43" s="319">
        <f>IF(X43 = 29, H43 + SUM(S43:S44) - SUM(T43:T44) - SUM(P43:P44) - V43,0)</f>
        <v>19311</v>
      </c>
      <c r="J43" s="321">
        <v>2353020735</v>
      </c>
      <c r="K43" s="323" t="s">
        <v>156</v>
      </c>
      <c r="L43" s="311" t="s">
        <v>146</v>
      </c>
      <c r="M43" s="311"/>
      <c r="N43" s="137">
        <v>45322</v>
      </c>
      <c r="O43" s="305" t="s">
        <v>195</v>
      </c>
      <c r="P43" s="138">
        <v>5487</v>
      </c>
      <c r="Q43" s="139">
        <v>45334</v>
      </c>
      <c r="R43" s="140"/>
      <c r="S43" s="138"/>
      <c r="T43" s="138"/>
      <c r="U43" s="309"/>
      <c r="V43" s="313"/>
      <c r="W43" s="315"/>
      <c r="X43" s="107">
        <v>29</v>
      </c>
    </row>
    <row r="44" spans="1:24" s="2" customFormat="1" x14ac:dyDescent="0.3">
      <c r="A44" s="325"/>
      <c r="B44" s="328"/>
      <c r="C44" s="328"/>
      <c r="D44" s="328"/>
      <c r="E44" s="328"/>
      <c r="F44" s="326"/>
      <c r="G44" s="331"/>
      <c r="H44" s="327"/>
      <c r="I44" s="332"/>
      <c r="J44" s="333"/>
      <c r="K44" s="334"/>
      <c r="L44" s="328"/>
      <c r="M44" s="328"/>
      <c r="N44" s="141">
        <v>45322</v>
      </c>
      <c r="O44" s="326"/>
      <c r="P44" s="142">
        <v>1770</v>
      </c>
      <c r="Q44" s="143">
        <v>45334</v>
      </c>
      <c r="R44" s="144"/>
      <c r="S44" s="142"/>
      <c r="T44" s="142"/>
      <c r="U44" s="327"/>
      <c r="V44" s="329"/>
      <c r="W44" s="330"/>
      <c r="X44" s="2">
        <v>29</v>
      </c>
    </row>
    <row r="45" spans="1:24" s="107" customFormat="1" ht="108" x14ac:dyDescent="0.3">
      <c r="A45" s="119">
        <v>13</v>
      </c>
      <c r="B45" s="120" t="s">
        <v>56</v>
      </c>
      <c r="C45" s="120" t="s">
        <v>146</v>
      </c>
      <c r="D45" s="120" t="s">
        <v>147</v>
      </c>
      <c r="E45" s="120" t="s">
        <v>212</v>
      </c>
      <c r="F45" s="128">
        <v>45316</v>
      </c>
      <c r="G45" s="121" t="s">
        <v>182</v>
      </c>
      <c r="H45" s="122">
        <v>72800</v>
      </c>
      <c r="I45" s="123">
        <f>IF(X45 = 30, H45 + SUM(S45:S45) - SUM(T45:T45) - SUM(P45:P45) - V45,0)</f>
        <v>0</v>
      </c>
      <c r="J45" s="124">
        <v>235303782209</v>
      </c>
      <c r="K45" s="125" t="s">
        <v>210</v>
      </c>
      <c r="L45" s="120" t="s">
        <v>146</v>
      </c>
      <c r="M45" s="120"/>
      <c r="N45" s="128"/>
      <c r="O45" s="128" t="s">
        <v>195</v>
      </c>
      <c r="P45" s="122">
        <v>72800</v>
      </c>
      <c r="Q45" s="121">
        <v>45327</v>
      </c>
      <c r="R45" s="120"/>
      <c r="S45" s="122"/>
      <c r="T45" s="122"/>
      <c r="U45" s="122"/>
      <c r="V45" s="126"/>
      <c r="W45" s="127"/>
      <c r="X45" s="107">
        <v>30</v>
      </c>
    </row>
    <row r="46" spans="1:24" s="107" customFormat="1" ht="108" x14ac:dyDescent="0.3">
      <c r="A46" s="158">
        <v>14</v>
      </c>
      <c r="B46" s="159" t="s">
        <v>56</v>
      </c>
      <c r="C46" s="159" t="s">
        <v>164</v>
      </c>
      <c r="D46" s="159" t="s">
        <v>226</v>
      </c>
      <c r="E46" s="159" t="s">
        <v>222</v>
      </c>
      <c r="F46" s="170">
        <v>45351</v>
      </c>
      <c r="G46" s="163" t="s">
        <v>227</v>
      </c>
      <c r="H46" s="160">
        <v>561150</v>
      </c>
      <c r="I46" s="161">
        <f>IF(X46 = 31, H46 + SUM(S46:S46) - SUM(T46:T46) - SUM(P46:P46) - V46,0)</f>
        <v>561150</v>
      </c>
      <c r="J46" s="171">
        <v>2310195709</v>
      </c>
      <c r="K46" s="172" t="s">
        <v>228</v>
      </c>
      <c r="L46" s="159" t="s">
        <v>146</v>
      </c>
      <c r="M46" s="159"/>
      <c r="N46" s="170"/>
      <c r="O46" s="170" t="s">
        <v>195</v>
      </c>
      <c r="P46" s="160"/>
      <c r="Q46" s="163"/>
      <c r="R46" s="159"/>
      <c r="S46" s="160"/>
      <c r="T46" s="160"/>
      <c r="U46" s="160"/>
      <c r="V46" s="173"/>
      <c r="W46" s="162"/>
      <c r="X46" s="107">
        <v>31</v>
      </c>
    </row>
    <row r="47" spans="1:24" x14ac:dyDescent="0.3">
      <c r="B47" s="109"/>
      <c r="X47" s="8">
        <v>32</v>
      </c>
    </row>
    <row r="48" spans="1:24" x14ac:dyDescent="0.3">
      <c r="B48" s="109"/>
    </row>
    <row r="49" spans="2:5" x14ac:dyDescent="0.3">
      <c r="B49" s="109"/>
    </row>
    <row r="50" spans="2:5" x14ac:dyDescent="0.3">
      <c r="B50" s="109"/>
      <c r="E50" s="45"/>
    </row>
  </sheetData>
  <sheetProtection algorithmName="SHA-512" hashValue="Awv2fscA1dJnnkuq20J9tdY1c62hcj/M2fzUc6L2DGTTh+VAp6htrMnrViPInk4lYU3SCWo6VxZ8Sas1QtSvhA==" saltValue="aBInz8SB2pd4qeOWMI1wLQ==" spinCount="100000" sheet="1" objects="1" scenarios="1" formatCells="0" formatColumns="0" formatRows="0"/>
  <mergeCells count="156">
    <mergeCell ref="I12:I15"/>
    <mergeCell ref="J12:J15"/>
    <mergeCell ref="K12:K15"/>
    <mergeCell ref="L12:L15"/>
    <mergeCell ref="M12:M15"/>
    <mergeCell ref="O12:O15"/>
    <mergeCell ref="U12:U15"/>
    <mergeCell ref="A43:A44"/>
    <mergeCell ref="O43:O44"/>
    <mergeCell ref="U43:U44"/>
    <mergeCell ref="B43:B44"/>
    <mergeCell ref="V43:V44"/>
    <mergeCell ref="C43:C44"/>
    <mergeCell ref="A28:A29"/>
    <mergeCell ref="O28:O29"/>
    <mergeCell ref="U28:U29"/>
    <mergeCell ref="B28:B29"/>
    <mergeCell ref="V28:V29"/>
    <mergeCell ref="C28:C29"/>
    <mergeCell ref="W43:W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W28:W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W22:W26"/>
    <mergeCell ref="D22:D26"/>
    <mergeCell ref="E22:E26"/>
    <mergeCell ref="F22:F26"/>
    <mergeCell ref="G22:G26"/>
    <mergeCell ref="H22:H26"/>
    <mergeCell ref="I22:I26"/>
    <mergeCell ref="J22:J26"/>
    <mergeCell ref="K22:K26"/>
    <mergeCell ref="L22:L26"/>
    <mergeCell ref="M22:M26"/>
    <mergeCell ref="S2:U2"/>
    <mergeCell ref="F2:G2"/>
    <mergeCell ref="N2:O2"/>
    <mergeCell ref="U17:U21"/>
    <mergeCell ref="B17:B21"/>
    <mergeCell ref="V17:V21"/>
    <mergeCell ref="C17:C21"/>
    <mergeCell ref="W17:W21"/>
    <mergeCell ref="D17:D21"/>
    <mergeCell ref="E17:E21"/>
    <mergeCell ref="F17:F21"/>
    <mergeCell ref="G17:G21"/>
    <mergeCell ref="H17:H21"/>
    <mergeCell ref="I17:I21"/>
    <mergeCell ref="J17:J21"/>
    <mergeCell ref="K17:K21"/>
    <mergeCell ref="L17:L21"/>
    <mergeCell ref="M17:M21"/>
    <mergeCell ref="B12:B15"/>
    <mergeCell ref="V12:V15"/>
    <mergeCell ref="C12:C15"/>
    <mergeCell ref="W12:W15"/>
    <mergeCell ref="D12:D15"/>
    <mergeCell ref="E12:E15"/>
    <mergeCell ref="L40:L42"/>
    <mergeCell ref="M40:M42"/>
    <mergeCell ref="O40:O42"/>
    <mergeCell ref="U40:U42"/>
    <mergeCell ref="V40:V42"/>
    <mergeCell ref="W40:W42"/>
    <mergeCell ref="D40:D42"/>
    <mergeCell ref="A40:A42"/>
    <mergeCell ref="B40:B42"/>
    <mergeCell ref="C40:C42"/>
    <mergeCell ref="E40:E42"/>
    <mergeCell ref="F40:F42"/>
    <mergeCell ref="G40:G42"/>
    <mergeCell ref="H40:H42"/>
    <mergeCell ref="I40:I42"/>
    <mergeCell ref="J40:J42"/>
    <mergeCell ref="K40:K42"/>
    <mergeCell ref="W30:W36"/>
    <mergeCell ref="D30:D36"/>
    <mergeCell ref="E30:E36"/>
    <mergeCell ref="F30:F36"/>
    <mergeCell ref="G30:G36"/>
    <mergeCell ref="H30:H36"/>
    <mergeCell ref="I30:I36"/>
    <mergeCell ref="J30:J36"/>
    <mergeCell ref="K30:K36"/>
    <mergeCell ref="L30:L36"/>
    <mergeCell ref="M30:M36"/>
    <mergeCell ref="O30:O36"/>
    <mergeCell ref="U30:U36"/>
    <mergeCell ref="V30:V36"/>
    <mergeCell ref="W37:W39"/>
    <mergeCell ref="D37:D39"/>
    <mergeCell ref="A37:A39"/>
    <mergeCell ref="B37:B39"/>
    <mergeCell ref="C37:C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10:A11"/>
    <mergeCell ref="O10:O11"/>
    <mergeCell ref="U10:U11"/>
    <mergeCell ref="B10:B11"/>
    <mergeCell ref="O37:O39"/>
    <mergeCell ref="U37:U39"/>
    <mergeCell ref="V37:V39"/>
    <mergeCell ref="A30:A36"/>
    <mergeCell ref="B30:B36"/>
    <mergeCell ref="C30:C36"/>
    <mergeCell ref="A17:A21"/>
    <mergeCell ref="O17:O21"/>
    <mergeCell ref="A22:A26"/>
    <mergeCell ref="O22:O26"/>
    <mergeCell ref="U22:U26"/>
    <mergeCell ref="B22:B26"/>
    <mergeCell ref="V22:V26"/>
    <mergeCell ref="C22:C26"/>
    <mergeCell ref="A12:A15"/>
    <mergeCell ref="F12:F15"/>
    <mergeCell ref="G12:G15"/>
    <mergeCell ref="H12:H15"/>
    <mergeCell ref="V10:V11"/>
    <mergeCell ref="C10:C11"/>
    <mergeCell ref="W10:W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2"/>
  <sheetViews>
    <sheetView showGridLines="0" topLeftCell="C1" zoomScale="50" zoomScaleNormal="50" workbookViewId="0">
      <pane ySplit="8" topLeftCell="A9" activePane="bottomLeft" state="frozen"/>
      <selection pane="bottomLeft" activeCell="O9" sqref="O9"/>
    </sheetView>
  </sheetViews>
  <sheetFormatPr defaultColWidth="0" defaultRowHeight="18" x14ac:dyDescent="0.3"/>
  <cols>
    <col min="1" max="1" width="14" style="3" customWidth="1"/>
    <col min="2" max="2" width="25.44140625" style="3" customWidth="1"/>
    <col min="3" max="3" width="39.5546875" style="3" bestFit="1" customWidth="1"/>
    <col min="4" max="4" width="23.88671875" style="3" customWidth="1"/>
    <col min="5" max="5" width="32.44140625" style="3" customWidth="1"/>
    <col min="6" max="6" width="27.44140625" style="12" customWidth="1"/>
    <col min="7" max="7" width="27.44140625" style="3" customWidth="1"/>
    <col min="8" max="8" width="33" style="3" customWidth="1"/>
    <col min="9" max="10" width="27.33203125" style="11" customWidth="1"/>
    <col min="11" max="11" width="26.5546875" style="3" customWidth="1"/>
    <col min="12" max="12" width="38.44140625" style="12" customWidth="1"/>
    <col min="13" max="13" width="37.5546875" style="3" customWidth="1"/>
    <col min="14" max="14" width="24.6640625" style="11" customWidth="1"/>
    <col min="15" max="15" width="24.44140625" style="12" customWidth="1"/>
    <col min="16" max="16" width="24.33203125" style="12" customWidth="1"/>
    <col min="17" max="17" width="27.44140625" style="12" customWidth="1"/>
    <col min="18" max="18" width="27.109375" style="12" customWidth="1"/>
    <col min="19" max="19" width="23.44140625" style="12" customWidth="1"/>
    <col min="20" max="20" width="22.88671875" style="11" customWidth="1"/>
    <col min="21" max="21" width="21.88671875" style="8" customWidth="1"/>
    <col min="22" max="16384" width="9.109375" style="8" hidden="1"/>
  </cols>
  <sheetData>
    <row r="1" spans="1:22" ht="18.600000000000001" thickBot="1" x14ac:dyDescent="0.35"/>
    <row r="2" spans="1:22" ht="39.9" customHeight="1" thickBot="1" x14ac:dyDescent="0.35">
      <c r="B2" s="86"/>
      <c r="C2" s="86"/>
      <c r="D2" s="86"/>
      <c r="E2" s="307" t="s">
        <v>24</v>
      </c>
      <c r="F2" s="308"/>
      <c r="G2" s="98">
        <f>SUM(G9:G9999)</f>
        <v>1201103.3999999999</v>
      </c>
      <c r="L2" s="394" t="s">
        <v>137</v>
      </c>
      <c r="M2" s="395"/>
      <c r="N2" s="87">
        <f>SUM(N9:N9999)</f>
        <v>204433.07</v>
      </c>
      <c r="P2" s="86"/>
      <c r="Q2" s="281" t="s">
        <v>45</v>
      </c>
      <c r="R2" s="282"/>
      <c r="S2" s="283"/>
      <c r="T2" s="88">
        <f>SUM(T9:T9999)</f>
        <v>0</v>
      </c>
    </row>
    <row r="3" spans="1:22" x14ac:dyDescent="0.3">
      <c r="E3" s="38"/>
      <c r="F3" s="38"/>
      <c r="G3" s="38"/>
      <c r="H3" s="38"/>
      <c r="I3" s="43"/>
      <c r="J3" s="44"/>
      <c r="K3" s="41"/>
      <c r="L3" s="38"/>
      <c r="M3" s="38"/>
      <c r="N3" s="43"/>
      <c r="O3" s="42"/>
      <c r="P3" s="38"/>
      <c r="Q3" s="38"/>
      <c r="R3" s="38"/>
      <c r="S3" s="38"/>
      <c r="T3" s="43"/>
    </row>
    <row r="4" spans="1:22" ht="39.9" customHeight="1" x14ac:dyDescent="0.3">
      <c r="E4" s="38"/>
      <c r="F4" s="38"/>
      <c r="G4" s="38"/>
      <c r="H4" s="38"/>
      <c r="I4" s="43"/>
      <c r="J4" s="44"/>
      <c r="K4" s="41"/>
      <c r="L4" s="38"/>
      <c r="M4" s="38"/>
      <c r="N4" s="43"/>
      <c r="O4" s="42"/>
      <c r="P4" s="38"/>
      <c r="Q4" s="38"/>
      <c r="R4" s="38"/>
      <c r="S4" s="38"/>
      <c r="T4" s="43"/>
    </row>
    <row r="6" spans="1:22" ht="144" x14ac:dyDescent="0.3">
      <c r="A6" s="28" t="s">
        <v>8</v>
      </c>
      <c r="B6" s="28" t="s">
        <v>21</v>
      </c>
      <c r="C6" s="28" t="s">
        <v>10</v>
      </c>
      <c r="D6" s="28" t="s">
        <v>15</v>
      </c>
      <c r="E6" s="28" t="s">
        <v>0</v>
      </c>
      <c r="F6" s="27" t="s">
        <v>3</v>
      </c>
      <c r="G6" s="28" t="s">
        <v>38</v>
      </c>
      <c r="H6" s="28" t="s">
        <v>22</v>
      </c>
      <c r="I6" s="89" t="s">
        <v>46</v>
      </c>
      <c r="J6" s="89" t="s">
        <v>5</v>
      </c>
      <c r="K6" s="28" t="s">
        <v>39</v>
      </c>
      <c r="L6" s="27" t="s">
        <v>37</v>
      </c>
      <c r="M6" s="28" t="s">
        <v>6</v>
      </c>
      <c r="N6" s="89" t="s">
        <v>23</v>
      </c>
      <c r="O6" s="27" t="s">
        <v>9</v>
      </c>
      <c r="P6" s="27" t="s">
        <v>40</v>
      </c>
      <c r="Q6" s="27" t="s">
        <v>103</v>
      </c>
      <c r="R6" s="27" t="s">
        <v>104</v>
      </c>
      <c r="S6" s="27" t="s">
        <v>41</v>
      </c>
      <c r="T6" s="89" t="s">
        <v>43</v>
      </c>
      <c r="U6" s="17" t="s">
        <v>42</v>
      </c>
    </row>
    <row r="7" spans="1:22" ht="16.8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</row>
    <row r="8" spans="1:22" s="18" customFormat="1" ht="108" hidden="1" x14ac:dyDescent="0.3">
      <c r="A8" s="90" t="s">
        <v>36</v>
      </c>
      <c r="B8" s="90" t="s">
        <v>67</v>
      </c>
      <c r="C8" s="90" t="s">
        <v>66</v>
      </c>
      <c r="D8" s="90" t="s">
        <v>48</v>
      </c>
      <c r="E8" s="95">
        <v>43823</v>
      </c>
      <c r="F8" s="91" t="s">
        <v>65</v>
      </c>
      <c r="G8" s="92">
        <v>100000</v>
      </c>
      <c r="H8" s="92">
        <v>90000</v>
      </c>
      <c r="I8" s="96">
        <v>2308091759</v>
      </c>
      <c r="J8" s="90" t="s">
        <v>68</v>
      </c>
      <c r="K8" s="90" t="s">
        <v>69</v>
      </c>
      <c r="L8" s="91">
        <v>43801</v>
      </c>
      <c r="M8" s="90" t="s">
        <v>70</v>
      </c>
      <c r="N8" s="92">
        <v>10000</v>
      </c>
      <c r="O8" s="91">
        <v>43489</v>
      </c>
      <c r="P8" s="91"/>
      <c r="Q8" s="91"/>
      <c r="R8" s="91"/>
      <c r="S8" s="91"/>
      <c r="T8" s="92"/>
      <c r="U8" s="93" t="s">
        <v>64</v>
      </c>
    </row>
    <row r="9" spans="1:22" s="107" customFormat="1" ht="37.5" customHeight="1" x14ac:dyDescent="0.3">
      <c r="A9" s="405">
        <v>1</v>
      </c>
      <c r="B9" s="388"/>
      <c r="C9" s="388" t="s">
        <v>172</v>
      </c>
      <c r="D9" s="388" t="s">
        <v>152</v>
      </c>
      <c r="E9" s="408">
        <v>45289</v>
      </c>
      <c r="F9" s="402" t="s">
        <v>153</v>
      </c>
      <c r="G9" s="385">
        <v>1201103.3999999999</v>
      </c>
      <c r="H9" s="396">
        <f>IF(V9 = 1, G9 + SUM(Q9:Q11) - SUM(R9:R11) - SUM(N9:N11) - T9,0)</f>
        <v>996670.32999999984</v>
      </c>
      <c r="I9" s="399">
        <v>2312054894</v>
      </c>
      <c r="J9" s="388" t="s">
        <v>154</v>
      </c>
      <c r="K9" s="388" t="s">
        <v>155</v>
      </c>
      <c r="L9" s="114">
        <v>45322</v>
      </c>
      <c r="M9" s="388" t="s">
        <v>151</v>
      </c>
      <c r="N9" s="110">
        <v>204433.07</v>
      </c>
      <c r="O9" s="114">
        <v>45337</v>
      </c>
      <c r="P9" s="111"/>
      <c r="Q9" s="110"/>
      <c r="R9" s="110"/>
      <c r="S9" s="402"/>
      <c r="T9" s="385"/>
      <c r="U9" s="391"/>
      <c r="V9" s="107">
        <v>1</v>
      </c>
    </row>
    <row r="10" spans="1:22" s="2" customFormat="1" x14ac:dyDescent="0.3">
      <c r="A10" s="406"/>
      <c r="B10" s="389"/>
      <c r="C10" s="389"/>
      <c r="D10" s="389"/>
      <c r="E10" s="409"/>
      <c r="F10" s="403"/>
      <c r="G10" s="386"/>
      <c r="H10" s="397"/>
      <c r="I10" s="400"/>
      <c r="J10" s="389"/>
      <c r="K10" s="389"/>
      <c r="L10" s="116"/>
      <c r="M10" s="389"/>
      <c r="N10" s="117"/>
      <c r="O10" s="116"/>
      <c r="P10" s="118"/>
      <c r="Q10" s="117"/>
      <c r="R10" s="117"/>
      <c r="S10" s="403"/>
      <c r="T10" s="386"/>
      <c r="U10" s="392"/>
      <c r="V10" s="2">
        <v>1</v>
      </c>
    </row>
    <row r="11" spans="1:22" s="2" customFormat="1" x14ac:dyDescent="0.3">
      <c r="A11" s="407"/>
      <c r="B11" s="390"/>
      <c r="C11" s="390"/>
      <c r="D11" s="390"/>
      <c r="E11" s="410"/>
      <c r="F11" s="404"/>
      <c r="G11" s="387"/>
      <c r="H11" s="398"/>
      <c r="I11" s="401"/>
      <c r="J11" s="390"/>
      <c r="K11" s="390"/>
      <c r="L11" s="115"/>
      <c r="M11" s="390"/>
      <c r="N11" s="112"/>
      <c r="O11" s="115"/>
      <c r="P11" s="113"/>
      <c r="Q11" s="112"/>
      <c r="R11" s="112"/>
      <c r="S11" s="404"/>
      <c r="T11" s="387"/>
      <c r="U11" s="393"/>
      <c r="V11" s="2">
        <v>1</v>
      </c>
    </row>
    <row r="12" spans="1:22" x14ac:dyDescent="0.3">
      <c r="V12" s="8">
        <v>2</v>
      </c>
    </row>
  </sheetData>
  <sheetProtection algorithmName="SHA-512" hashValue="lGKi9XAQdeHPp7L3IVCzhWhqeUzRm1oqZEgPxDjYzcDcIBfdwQWuqUBkZxeoGnJb4/oz7i9+ffqHVRT1dA3UdA==" saltValue="cNeJkMDA/dL9V5JWiyK2Cg==" spinCount="100000" sheet="1" objects="1" scenarios="1" formatCells="0" formatColumns="0" formatRows="0"/>
  <mergeCells count="18">
    <mergeCell ref="A9:A11"/>
    <mergeCell ref="B9:B11"/>
    <mergeCell ref="D9:D11"/>
    <mergeCell ref="E9:E11"/>
    <mergeCell ref="F9:F11"/>
    <mergeCell ref="T9:T11"/>
    <mergeCell ref="C9:C11"/>
    <mergeCell ref="U9:U11"/>
    <mergeCell ref="Q2:S2"/>
    <mergeCell ref="E2:F2"/>
    <mergeCell ref="L2:M2"/>
    <mergeCell ref="G9:G11"/>
    <mergeCell ref="H9:H11"/>
    <mergeCell ref="I9:I11"/>
    <mergeCell ref="J9:J11"/>
    <mergeCell ref="K9:K11"/>
    <mergeCell ref="M9:M11"/>
    <mergeCell ref="S9:S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11"/>
  <sheetViews>
    <sheetView showGridLines="0" topLeftCell="M1" zoomScale="70" zoomScaleNormal="70" workbookViewId="0">
      <pane ySplit="8" topLeftCell="A9" activePane="bottomLeft" state="frozen"/>
      <selection pane="bottomLeft" activeCell="W9" sqref="W9"/>
    </sheetView>
  </sheetViews>
  <sheetFormatPr defaultColWidth="0" defaultRowHeight="18" x14ac:dyDescent="0.3"/>
  <cols>
    <col min="1" max="1" width="9.109375" style="3" customWidth="1"/>
    <col min="2" max="2" width="44" style="3" customWidth="1"/>
    <col min="3" max="3" width="30.6640625" style="3" customWidth="1"/>
    <col min="4" max="6" width="33.6640625" style="3" customWidth="1"/>
    <col min="7" max="8" width="22.33203125" style="11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8" width="21.88671875" style="11" customWidth="1"/>
    <col min="19" max="19" width="23.5546875" style="3" customWidth="1"/>
    <col min="20" max="20" width="31.33203125" style="12" customWidth="1"/>
    <col min="21" max="21" width="27.6640625" style="12" customWidth="1"/>
    <col min="22" max="22" width="25.44140625" style="11" customWidth="1"/>
    <col min="23" max="23" width="25" style="12" customWidth="1"/>
    <col min="24" max="24" width="24.5546875" style="3" customWidth="1"/>
    <col min="25" max="25" width="24.88671875" style="3" customWidth="1"/>
    <col min="26" max="26" width="24" style="3" customWidth="1"/>
    <col min="27" max="27" width="23.6640625" style="12" customWidth="1"/>
    <col min="28" max="28" width="19.109375" style="11" customWidth="1"/>
    <col min="29" max="29" width="23.109375" style="3" customWidth="1"/>
    <col min="30" max="30" width="9.109375" style="8" hidden="1" customWidth="1"/>
    <col min="31" max="31" width="8.5546875" style="8" hidden="1" customWidth="1"/>
    <col min="32" max="38" width="0" style="8" hidden="1" customWidth="1"/>
    <col min="39" max="16384" width="9.109375" style="8" hidden="1"/>
  </cols>
  <sheetData>
    <row r="1" spans="1:33" ht="18.600000000000001" thickBot="1" x14ac:dyDescent="0.35"/>
    <row r="2" spans="1:33" ht="39.9" customHeight="1" thickBot="1" x14ac:dyDescent="0.35">
      <c r="E2" s="307" t="s">
        <v>139</v>
      </c>
      <c r="F2" s="308"/>
      <c r="G2" s="100">
        <f>SUM(G9:G9999)</f>
        <v>740465.76</v>
      </c>
      <c r="H2" s="15"/>
      <c r="O2" s="307" t="s">
        <v>24</v>
      </c>
      <c r="P2" s="308"/>
      <c r="Q2" s="98">
        <f>SUM(Q9:Q9999)</f>
        <v>392446.84</v>
      </c>
      <c r="T2" s="281" t="s">
        <v>137</v>
      </c>
      <c r="U2" s="283"/>
      <c r="V2" s="87">
        <f>SUM(V9:V9999)</f>
        <v>68347.48</v>
      </c>
      <c r="X2" s="86"/>
      <c r="Y2" s="281" t="s">
        <v>45</v>
      </c>
      <c r="Z2" s="282"/>
      <c r="AA2" s="283"/>
      <c r="AB2" s="88">
        <f>SUM(AB9:AB9999)</f>
        <v>0</v>
      </c>
    </row>
    <row r="3" spans="1:33" x14ac:dyDescent="0.3">
      <c r="F3" s="45"/>
      <c r="G3" s="43"/>
      <c r="H3" s="43"/>
      <c r="I3" s="46"/>
      <c r="J3" s="46"/>
      <c r="K3" s="41"/>
      <c r="L3" s="41"/>
      <c r="M3" s="41"/>
      <c r="N3" s="42"/>
      <c r="O3" s="41"/>
      <c r="P3" s="45"/>
      <c r="Q3" s="43"/>
      <c r="R3" s="44"/>
      <c r="S3" s="41"/>
      <c r="T3" s="38"/>
      <c r="U3" s="38"/>
      <c r="V3" s="43"/>
      <c r="W3" s="42"/>
      <c r="X3" s="38"/>
      <c r="Y3" s="38"/>
      <c r="Z3" s="38"/>
      <c r="AA3" s="38"/>
      <c r="AB3" s="43"/>
    </row>
    <row r="4" spans="1:33" ht="39.9" customHeight="1" x14ac:dyDescent="0.3">
      <c r="F4" s="45"/>
      <c r="G4" s="43"/>
      <c r="H4" s="43"/>
      <c r="I4" s="46"/>
      <c r="J4" s="46"/>
      <c r="K4" s="41"/>
      <c r="L4" s="41"/>
      <c r="M4" s="41"/>
      <c r="N4" s="42"/>
      <c r="O4" s="41"/>
      <c r="P4" s="45"/>
      <c r="Q4" s="43"/>
      <c r="R4" s="44"/>
      <c r="S4" s="41"/>
      <c r="T4" s="38"/>
      <c r="U4" s="38"/>
      <c r="V4" s="43"/>
      <c r="W4" s="42"/>
      <c r="X4" s="38"/>
      <c r="Y4" s="38"/>
      <c r="Z4" s="38"/>
      <c r="AA4" s="38"/>
      <c r="AB4" s="43"/>
    </row>
    <row r="6" spans="1:33" ht="126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3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18</v>
      </c>
      <c r="R6" s="31" t="s">
        <v>22</v>
      </c>
      <c r="S6" s="23" t="s">
        <v>19</v>
      </c>
      <c r="T6" s="30" t="s">
        <v>37</v>
      </c>
      <c r="U6" s="30" t="s">
        <v>20</v>
      </c>
      <c r="V6" s="31" t="s">
        <v>23</v>
      </c>
      <c r="W6" s="30" t="s">
        <v>9</v>
      </c>
      <c r="X6" s="28" t="s">
        <v>40</v>
      </c>
      <c r="Y6" s="28" t="s">
        <v>103</v>
      </c>
      <c r="Z6" s="28" t="s">
        <v>104</v>
      </c>
      <c r="AA6" s="27" t="s">
        <v>41</v>
      </c>
      <c r="AB6" s="31" t="s">
        <v>43</v>
      </c>
      <c r="AC6" s="23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6" t="s">
        <v>79</v>
      </c>
      <c r="P8" s="165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5" t="s">
        <v>81</v>
      </c>
      <c r="V8" s="24">
        <v>8775.01</v>
      </c>
      <c r="W8" s="25">
        <v>43696</v>
      </c>
      <c r="X8" s="26"/>
      <c r="Y8" s="72"/>
      <c r="Z8" s="72"/>
      <c r="AA8" s="25"/>
      <c r="AB8" s="24"/>
      <c r="AC8" s="26" t="s">
        <v>64</v>
      </c>
    </row>
    <row r="9" spans="1:33" s="107" customFormat="1" ht="144" customHeight="1" x14ac:dyDescent="0.3">
      <c r="A9" s="411">
        <v>1</v>
      </c>
      <c r="B9" s="415" t="s">
        <v>56</v>
      </c>
      <c r="C9" s="415" t="s">
        <v>189</v>
      </c>
      <c r="D9" s="415" t="s">
        <v>147</v>
      </c>
      <c r="E9" s="415" t="s">
        <v>190</v>
      </c>
      <c r="F9" s="415" t="s">
        <v>191</v>
      </c>
      <c r="G9" s="417">
        <v>740465.76</v>
      </c>
      <c r="H9" s="419">
        <f>IF(AD9 = 1, G9 - Q9,0)</f>
        <v>348018.92</v>
      </c>
      <c r="I9" s="417">
        <v>5</v>
      </c>
      <c r="J9" s="417"/>
      <c r="K9" s="415" t="s">
        <v>164</v>
      </c>
      <c r="L9" s="415" t="s">
        <v>192</v>
      </c>
      <c r="M9" s="415" t="s">
        <v>190</v>
      </c>
      <c r="N9" s="423">
        <v>45286</v>
      </c>
      <c r="O9" s="425">
        <v>2304067057</v>
      </c>
      <c r="P9" s="427" t="s">
        <v>193</v>
      </c>
      <c r="Q9" s="417">
        <v>392446.84</v>
      </c>
      <c r="R9" s="419">
        <f>IF(AD9 = 1, Q9 + SUM(Y9:Y10) - SUM(Z9:Z10) - SUM(V9:V10) - AB9,0)</f>
        <v>324099.36000000004</v>
      </c>
      <c r="S9" s="415"/>
      <c r="T9" s="191">
        <v>45322</v>
      </c>
      <c r="U9" s="413" t="s">
        <v>166</v>
      </c>
      <c r="V9" s="187">
        <v>68347.48</v>
      </c>
      <c r="W9" s="191">
        <v>45324</v>
      </c>
      <c r="X9" s="188"/>
      <c r="Y9" s="187"/>
      <c r="Z9" s="187"/>
      <c r="AA9" s="413"/>
      <c r="AB9" s="417"/>
      <c r="AC9" s="421"/>
      <c r="AD9" s="107">
        <v>1</v>
      </c>
    </row>
    <row r="10" spans="1:33" s="2" customFormat="1" x14ac:dyDescent="0.3">
      <c r="A10" s="412"/>
      <c r="B10" s="416"/>
      <c r="C10" s="416"/>
      <c r="D10" s="416"/>
      <c r="E10" s="416"/>
      <c r="F10" s="416"/>
      <c r="G10" s="418"/>
      <c r="H10" s="420"/>
      <c r="I10" s="418"/>
      <c r="J10" s="418"/>
      <c r="K10" s="416"/>
      <c r="L10" s="416"/>
      <c r="M10" s="416"/>
      <c r="N10" s="424"/>
      <c r="O10" s="426"/>
      <c r="P10" s="428"/>
      <c r="Q10" s="418"/>
      <c r="R10" s="420"/>
      <c r="S10" s="416"/>
      <c r="T10" s="192"/>
      <c r="U10" s="414"/>
      <c r="V10" s="189"/>
      <c r="W10" s="192"/>
      <c r="X10" s="190"/>
      <c r="Y10" s="189"/>
      <c r="Z10" s="189"/>
      <c r="AA10" s="414"/>
      <c r="AB10" s="418"/>
      <c r="AC10" s="422"/>
      <c r="AD10" s="2">
        <v>1</v>
      </c>
    </row>
    <row r="11" spans="1:33" x14ac:dyDescent="0.3">
      <c r="AD11" s="8">
        <v>2</v>
      </c>
    </row>
  </sheetData>
  <sheetProtection algorithmName="SHA-512" hashValue="3UP112cwpIHVLftScpRhbCqxPxWwrg2yIk6R2K6/aSWaTCRG1oH6S1Ab2MVA+j+vab9kRjLlrK1CV83FDRm8mg==" saltValue="4g3tKpb3RJdY0cnVbCBHvg==" spinCount="100000" sheet="1" objects="1" scenarios="1" formatCells="0" formatColumns="0" formatRows="0"/>
  <mergeCells count="27">
    <mergeCell ref="AB9:AB10"/>
    <mergeCell ref="C9:C10"/>
    <mergeCell ref="AC9:A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E2:F2"/>
    <mergeCell ref="O2:P2"/>
    <mergeCell ref="Y2:AA2"/>
    <mergeCell ref="T2:U2"/>
    <mergeCell ref="A9:A10"/>
    <mergeCell ref="U9:U10"/>
    <mergeCell ref="AA9:AA10"/>
    <mergeCell ref="B9:B10"/>
    <mergeCell ref="Q9:Q10"/>
    <mergeCell ref="R9:R10"/>
    <mergeCell ref="S9:S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21"/>
  <sheetViews>
    <sheetView showGridLines="0" topLeftCell="M1" zoomScale="70" zoomScaleNormal="70" workbookViewId="0">
      <pane ySplit="8" topLeftCell="A11" activePane="bottomLeft" state="frozen"/>
      <selection pane="bottomLeft" activeCell="T20" sqref="T20"/>
    </sheetView>
  </sheetViews>
  <sheetFormatPr defaultColWidth="0" defaultRowHeight="18" x14ac:dyDescent="0.3"/>
  <cols>
    <col min="1" max="1" width="9.109375" style="3" customWidth="1"/>
    <col min="2" max="2" width="47.109375" style="3" customWidth="1"/>
    <col min="3" max="3" width="34.44140625" style="3" customWidth="1"/>
    <col min="4" max="6" width="33.6640625" style="3" customWidth="1"/>
    <col min="7" max="7" width="22.33203125" style="11" customWidth="1"/>
    <col min="8" max="8" width="22.33203125" style="8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7" width="27" style="11" customWidth="1"/>
    <col min="18" max="18" width="21.88671875" style="8" customWidth="1"/>
    <col min="19" max="19" width="23.5546875" style="8" customWidth="1"/>
    <col min="20" max="20" width="32.4414062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5.109375" style="8" customWidth="1"/>
    <col min="27" max="27" width="23.88671875" style="8" customWidth="1"/>
    <col min="28" max="28" width="20.33203125" style="8" customWidth="1"/>
    <col min="29" max="29" width="20" style="8" customWidth="1"/>
    <col min="30" max="38" width="0" style="8" hidden="1" customWidth="1"/>
    <col min="39" max="16384" width="9.109375" style="8" hidden="1"/>
  </cols>
  <sheetData>
    <row r="1" spans="1:33" ht="18.600000000000001" thickBot="1" x14ac:dyDescent="0.35">
      <c r="T1" s="16"/>
    </row>
    <row r="2" spans="1:33" ht="39.9" customHeight="1" thickBot="1" x14ac:dyDescent="0.35">
      <c r="E2" s="307" t="s">
        <v>139</v>
      </c>
      <c r="F2" s="308"/>
      <c r="G2" s="100">
        <f>SUM(G9:G10010)</f>
        <v>667469.44999999995</v>
      </c>
      <c r="H2" s="15"/>
      <c r="O2" s="307" t="s">
        <v>24</v>
      </c>
      <c r="P2" s="308"/>
      <c r="Q2" s="98">
        <f>SUM(Q9:Q10010)</f>
        <v>667469.44999999995</v>
      </c>
      <c r="T2" s="281" t="s">
        <v>137</v>
      </c>
      <c r="U2" s="283"/>
      <c r="V2" s="87">
        <f>SUM(V9:V10010)</f>
        <v>342866.06</v>
      </c>
      <c r="X2" s="86"/>
      <c r="Y2" s="281" t="s">
        <v>45</v>
      </c>
      <c r="Z2" s="282"/>
      <c r="AA2" s="283"/>
      <c r="AB2" s="88">
        <f>SUM(AB9:AB10010)</f>
        <v>0</v>
      </c>
    </row>
    <row r="4" spans="1:33" ht="39.9" customHeight="1" x14ac:dyDescent="0.3"/>
    <row r="6" spans="1:33" ht="108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72" t="s">
        <v>36</v>
      </c>
      <c r="B8" s="72"/>
      <c r="C8" s="72" t="s">
        <v>73</v>
      </c>
      <c r="D8" s="72" t="s">
        <v>74</v>
      </c>
      <c r="E8" s="72" t="s">
        <v>71</v>
      </c>
      <c r="F8" s="72" t="s">
        <v>72</v>
      </c>
      <c r="G8" s="74">
        <v>15500.01</v>
      </c>
      <c r="H8" s="74">
        <f t="shared" ref="H8" si="0">G8-Q8</f>
        <v>6725</v>
      </c>
      <c r="I8" s="97">
        <v>6</v>
      </c>
      <c r="J8" s="97">
        <v>0</v>
      </c>
      <c r="K8" s="72" t="s">
        <v>75</v>
      </c>
      <c r="L8" s="72" t="s">
        <v>76</v>
      </c>
      <c r="M8" s="72" t="s">
        <v>77</v>
      </c>
      <c r="N8" s="73">
        <v>43655</v>
      </c>
      <c r="O8" s="72" t="s">
        <v>79</v>
      </c>
      <c r="P8" s="72" t="s">
        <v>78</v>
      </c>
      <c r="Q8" s="74">
        <v>8775.01</v>
      </c>
      <c r="R8" s="74">
        <f>Q8-V8</f>
        <v>0</v>
      </c>
      <c r="S8" s="72" t="s">
        <v>80</v>
      </c>
      <c r="T8" s="73">
        <v>43677</v>
      </c>
      <c r="U8" s="72" t="s">
        <v>81</v>
      </c>
      <c r="V8" s="74">
        <v>8775.01</v>
      </c>
      <c r="W8" s="73">
        <v>43696</v>
      </c>
      <c r="X8" s="72"/>
      <c r="Y8" s="72"/>
      <c r="Z8" s="72"/>
      <c r="AA8" s="72"/>
      <c r="AB8" s="74"/>
      <c r="AC8" s="75" t="s">
        <v>64</v>
      </c>
    </row>
    <row r="9" spans="1:33" s="107" customFormat="1" ht="144" customHeight="1" x14ac:dyDescent="0.3">
      <c r="A9" s="444">
        <v>1</v>
      </c>
      <c r="B9" s="432" t="s">
        <v>56</v>
      </c>
      <c r="C9" s="432" t="s">
        <v>183</v>
      </c>
      <c r="D9" s="432" t="s">
        <v>147</v>
      </c>
      <c r="E9" s="432" t="s">
        <v>184</v>
      </c>
      <c r="F9" s="432" t="s">
        <v>185</v>
      </c>
      <c r="G9" s="435">
        <v>667469.44999999995</v>
      </c>
      <c r="H9" s="438">
        <f>IF(AD9 = 1, G9 - Q9,0)</f>
        <v>0</v>
      </c>
      <c r="I9" s="435">
        <v>1</v>
      </c>
      <c r="J9" s="435"/>
      <c r="K9" s="432" t="s">
        <v>164</v>
      </c>
      <c r="L9" s="432" t="s">
        <v>186</v>
      </c>
      <c r="M9" s="432" t="s">
        <v>184</v>
      </c>
      <c r="N9" s="441">
        <v>45285</v>
      </c>
      <c r="O9" s="432" t="s">
        <v>187</v>
      </c>
      <c r="P9" s="432" t="s">
        <v>188</v>
      </c>
      <c r="Q9" s="435">
        <v>667469.44999999995</v>
      </c>
      <c r="R9" s="438">
        <f>IF(AD9 = 1, Q9 + SUM(Y9:Y20) - SUM(Z9:Z20) - SUM(V9:V20) - AB9,0)</f>
        <v>324603.38999999996</v>
      </c>
      <c r="S9" s="432"/>
      <c r="T9" s="209">
        <v>45324</v>
      </c>
      <c r="U9" s="432" t="s">
        <v>166</v>
      </c>
      <c r="V9" s="205">
        <v>23760</v>
      </c>
      <c r="W9" s="209">
        <v>45334</v>
      </c>
      <c r="X9" s="206"/>
      <c r="Y9" s="205"/>
      <c r="Z9" s="205"/>
      <c r="AA9" s="432"/>
      <c r="AB9" s="435"/>
      <c r="AC9" s="429"/>
      <c r="AD9" s="107">
        <v>1</v>
      </c>
    </row>
    <row r="10" spans="1:33" s="2" customFormat="1" x14ac:dyDescent="0.3">
      <c r="A10" s="445"/>
      <c r="B10" s="433"/>
      <c r="C10" s="433"/>
      <c r="D10" s="433"/>
      <c r="E10" s="433"/>
      <c r="F10" s="433"/>
      <c r="G10" s="436"/>
      <c r="H10" s="439"/>
      <c r="I10" s="436"/>
      <c r="J10" s="436"/>
      <c r="K10" s="433"/>
      <c r="L10" s="433"/>
      <c r="M10" s="433"/>
      <c r="N10" s="442"/>
      <c r="O10" s="433"/>
      <c r="P10" s="433"/>
      <c r="Q10" s="436"/>
      <c r="R10" s="439"/>
      <c r="S10" s="433"/>
      <c r="T10" s="211">
        <v>45329</v>
      </c>
      <c r="U10" s="433"/>
      <c r="V10" s="212">
        <v>450</v>
      </c>
      <c r="W10" s="211">
        <v>45334</v>
      </c>
      <c r="X10" s="213"/>
      <c r="Y10" s="212"/>
      <c r="Z10" s="212"/>
      <c r="AA10" s="433"/>
      <c r="AB10" s="436"/>
      <c r="AC10" s="430"/>
      <c r="AD10" s="2">
        <v>1</v>
      </c>
    </row>
    <row r="11" spans="1:33" s="2" customFormat="1" x14ac:dyDescent="0.3">
      <c r="A11" s="445"/>
      <c r="B11" s="433"/>
      <c r="C11" s="433"/>
      <c r="D11" s="433"/>
      <c r="E11" s="433"/>
      <c r="F11" s="433"/>
      <c r="G11" s="436"/>
      <c r="H11" s="439"/>
      <c r="I11" s="436"/>
      <c r="J11" s="436"/>
      <c r="K11" s="433"/>
      <c r="L11" s="433"/>
      <c r="M11" s="433"/>
      <c r="N11" s="442"/>
      <c r="O11" s="433"/>
      <c r="P11" s="433"/>
      <c r="Q11" s="436"/>
      <c r="R11" s="439"/>
      <c r="S11" s="433"/>
      <c r="T11" s="211">
        <v>45317</v>
      </c>
      <c r="U11" s="433"/>
      <c r="V11" s="212">
        <v>27600</v>
      </c>
      <c r="W11" s="211">
        <v>45334</v>
      </c>
      <c r="X11" s="213"/>
      <c r="Y11" s="212"/>
      <c r="Z11" s="212"/>
      <c r="AA11" s="433"/>
      <c r="AB11" s="436"/>
      <c r="AC11" s="430"/>
      <c r="AD11" s="2">
        <v>1</v>
      </c>
    </row>
    <row r="12" spans="1:33" s="2" customFormat="1" x14ac:dyDescent="0.3">
      <c r="A12" s="445"/>
      <c r="B12" s="433"/>
      <c r="C12" s="433"/>
      <c r="D12" s="433"/>
      <c r="E12" s="433"/>
      <c r="F12" s="433"/>
      <c r="G12" s="436"/>
      <c r="H12" s="439"/>
      <c r="I12" s="436"/>
      <c r="J12" s="436"/>
      <c r="K12" s="433"/>
      <c r="L12" s="433"/>
      <c r="M12" s="433"/>
      <c r="N12" s="442"/>
      <c r="O12" s="433"/>
      <c r="P12" s="433"/>
      <c r="Q12" s="436"/>
      <c r="R12" s="439"/>
      <c r="S12" s="433"/>
      <c r="T12" s="211">
        <v>45324</v>
      </c>
      <c r="U12" s="433"/>
      <c r="V12" s="212">
        <v>68246.42</v>
      </c>
      <c r="W12" s="211">
        <v>45338</v>
      </c>
      <c r="X12" s="213"/>
      <c r="Y12" s="212"/>
      <c r="Z12" s="212"/>
      <c r="AA12" s="433"/>
      <c r="AB12" s="436"/>
      <c r="AC12" s="430"/>
      <c r="AD12" s="2">
        <v>1</v>
      </c>
    </row>
    <row r="13" spans="1:33" s="2" customFormat="1" x14ac:dyDescent="0.3">
      <c r="A13" s="445"/>
      <c r="B13" s="433"/>
      <c r="C13" s="433"/>
      <c r="D13" s="433"/>
      <c r="E13" s="433"/>
      <c r="F13" s="433"/>
      <c r="G13" s="436"/>
      <c r="H13" s="439"/>
      <c r="I13" s="436"/>
      <c r="J13" s="436"/>
      <c r="K13" s="433"/>
      <c r="L13" s="433"/>
      <c r="M13" s="433"/>
      <c r="N13" s="442"/>
      <c r="O13" s="433"/>
      <c r="P13" s="433"/>
      <c r="Q13" s="436"/>
      <c r="R13" s="439"/>
      <c r="S13" s="433"/>
      <c r="T13" s="211">
        <v>45324</v>
      </c>
      <c r="U13" s="433"/>
      <c r="V13" s="212">
        <v>4356.22</v>
      </c>
      <c r="W13" s="211">
        <v>45338</v>
      </c>
      <c r="X13" s="213"/>
      <c r="Y13" s="212"/>
      <c r="Z13" s="212"/>
      <c r="AA13" s="433"/>
      <c r="AB13" s="436"/>
      <c r="AC13" s="430"/>
      <c r="AD13" s="2">
        <v>1</v>
      </c>
    </row>
    <row r="14" spans="1:33" s="2" customFormat="1" x14ac:dyDescent="0.3">
      <c r="A14" s="445"/>
      <c r="B14" s="433"/>
      <c r="C14" s="433"/>
      <c r="D14" s="433"/>
      <c r="E14" s="433"/>
      <c r="F14" s="433"/>
      <c r="G14" s="436"/>
      <c r="H14" s="439"/>
      <c r="I14" s="436"/>
      <c r="J14" s="436"/>
      <c r="K14" s="433"/>
      <c r="L14" s="433"/>
      <c r="M14" s="433"/>
      <c r="N14" s="442"/>
      <c r="O14" s="433"/>
      <c r="P14" s="433"/>
      <c r="Q14" s="436"/>
      <c r="R14" s="439"/>
      <c r="S14" s="433"/>
      <c r="T14" s="211">
        <v>45329</v>
      </c>
      <c r="U14" s="433"/>
      <c r="V14" s="212">
        <v>1292.55</v>
      </c>
      <c r="W14" s="211">
        <v>45338</v>
      </c>
      <c r="X14" s="213"/>
      <c r="Y14" s="212"/>
      <c r="Z14" s="212"/>
      <c r="AA14" s="433"/>
      <c r="AB14" s="436"/>
      <c r="AC14" s="430"/>
      <c r="AD14" s="2">
        <v>1</v>
      </c>
    </row>
    <row r="15" spans="1:33" s="2" customFormat="1" x14ac:dyDescent="0.3">
      <c r="A15" s="445"/>
      <c r="B15" s="433"/>
      <c r="C15" s="433"/>
      <c r="D15" s="433"/>
      <c r="E15" s="433"/>
      <c r="F15" s="433"/>
      <c r="G15" s="436"/>
      <c r="H15" s="439"/>
      <c r="I15" s="436"/>
      <c r="J15" s="436"/>
      <c r="K15" s="433"/>
      <c r="L15" s="433"/>
      <c r="M15" s="433"/>
      <c r="N15" s="442"/>
      <c r="O15" s="433"/>
      <c r="P15" s="433"/>
      <c r="Q15" s="436"/>
      <c r="R15" s="439"/>
      <c r="S15" s="433"/>
      <c r="T15" s="211">
        <v>45329</v>
      </c>
      <c r="U15" s="433"/>
      <c r="V15" s="212">
        <v>82.5</v>
      </c>
      <c r="W15" s="211">
        <v>45338</v>
      </c>
      <c r="X15" s="213"/>
      <c r="Y15" s="212"/>
      <c r="Z15" s="212"/>
      <c r="AA15" s="433"/>
      <c r="AB15" s="436"/>
      <c r="AC15" s="430"/>
      <c r="AD15" s="2">
        <v>1</v>
      </c>
    </row>
    <row r="16" spans="1:33" s="2" customFormat="1" x14ac:dyDescent="0.3">
      <c r="A16" s="445"/>
      <c r="B16" s="433"/>
      <c r="C16" s="433"/>
      <c r="D16" s="433"/>
      <c r="E16" s="433"/>
      <c r="F16" s="433"/>
      <c r="G16" s="436"/>
      <c r="H16" s="439"/>
      <c r="I16" s="436"/>
      <c r="J16" s="436"/>
      <c r="K16" s="433"/>
      <c r="L16" s="433"/>
      <c r="M16" s="433"/>
      <c r="N16" s="442"/>
      <c r="O16" s="433"/>
      <c r="P16" s="433"/>
      <c r="Q16" s="436"/>
      <c r="R16" s="439"/>
      <c r="S16" s="433"/>
      <c r="T16" s="211">
        <v>45317</v>
      </c>
      <c r="U16" s="433"/>
      <c r="V16" s="212">
        <v>79276.14</v>
      </c>
      <c r="W16" s="211">
        <v>45338</v>
      </c>
      <c r="X16" s="213"/>
      <c r="Y16" s="212"/>
      <c r="Z16" s="212"/>
      <c r="AA16" s="433"/>
      <c r="AB16" s="436"/>
      <c r="AC16" s="430"/>
      <c r="AD16" s="2">
        <v>1</v>
      </c>
    </row>
    <row r="17" spans="1:30" s="2" customFormat="1" x14ac:dyDescent="0.3">
      <c r="A17" s="445"/>
      <c r="B17" s="433"/>
      <c r="C17" s="433"/>
      <c r="D17" s="433"/>
      <c r="E17" s="433"/>
      <c r="F17" s="433"/>
      <c r="G17" s="436"/>
      <c r="H17" s="439"/>
      <c r="I17" s="436"/>
      <c r="J17" s="436"/>
      <c r="K17" s="433"/>
      <c r="L17" s="433"/>
      <c r="M17" s="433"/>
      <c r="N17" s="442"/>
      <c r="O17" s="433"/>
      <c r="P17" s="433"/>
      <c r="Q17" s="436"/>
      <c r="R17" s="439"/>
      <c r="S17" s="433"/>
      <c r="T17" s="211">
        <v>45317</v>
      </c>
      <c r="U17" s="433"/>
      <c r="V17" s="212">
        <v>5060.26</v>
      </c>
      <c r="W17" s="211">
        <v>45338</v>
      </c>
      <c r="X17" s="213"/>
      <c r="Y17" s="212"/>
      <c r="Z17" s="212"/>
      <c r="AA17" s="433"/>
      <c r="AB17" s="436"/>
      <c r="AC17" s="430"/>
      <c r="AD17" s="2">
        <v>1</v>
      </c>
    </row>
    <row r="18" spans="1:30" s="2" customFormat="1" x14ac:dyDescent="0.3">
      <c r="A18" s="445"/>
      <c r="B18" s="433"/>
      <c r="C18" s="433"/>
      <c r="D18" s="433"/>
      <c r="E18" s="433"/>
      <c r="F18" s="433"/>
      <c r="G18" s="436"/>
      <c r="H18" s="439"/>
      <c r="I18" s="436"/>
      <c r="J18" s="436"/>
      <c r="K18" s="433"/>
      <c r="L18" s="433"/>
      <c r="M18" s="433"/>
      <c r="N18" s="442"/>
      <c r="O18" s="433"/>
      <c r="P18" s="433"/>
      <c r="Q18" s="436"/>
      <c r="R18" s="439"/>
      <c r="S18" s="433"/>
      <c r="T18" s="211">
        <v>45343</v>
      </c>
      <c r="U18" s="433"/>
      <c r="V18" s="212">
        <v>32730</v>
      </c>
      <c r="W18" s="211">
        <v>45348</v>
      </c>
      <c r="X18" s="213"/>
      <c r="Y18" s="212"/>
      <c r="Z18" s="212"/>
      <c r="AA18" s="433"/>
      <c r="AB18" s="436"/>
      <c r="AC18" s="430"/>
      <c r="AD18" s="2">
        <v>1</v>
      </c>
    </row>
    <row r="19" spans="1:30" s="2" customFormat="1" x14ac:dyDescent="0.3">
      <c r="A19" s="445"/>
      <c r="B19" s="433"/>
      <c r="C19" s="433"/>
      <c r="D19" s="433"/>
      <c r="E19" s="433"/>
      <c r="F19" s="433"/>
      <c r="G19" s="436"/>
      <c r="H19" s="439"/>
      <c r="I19" s="436"/>
      <c r="J19" s="436"/>
      <c r="K19" s="433"/>
      <c r="L19" s="433"/>
      <c r="M19" s="433"/>
      <c r="N19" s="442"/>
      <c r="O19" s="433"/>
      <c r="P19" s="433"/>
      <c r="Q19" s="436"/>
      <c r="R19" s="439"/>
      <c r="S19" s="433"/>
      <c r="T19" s="211">
        <v>45343</v>
      </c>
      <c r="U19" s="433"/>
      <c r="V19" s="212">
        <v>94011.16</v>
      </c>
      <c r="W19" s="211">
        <v>45348</v>
      </c>
      <c r="X19" s="213"/>
      <c r="Y19" s="212"/>
      <c r="Z19" s="212"/>
      <c r="AA19" s="433"/>
      <c r="AB19" s="436"/>
      <c r="AC19" s="430"/>
      <c r="AD19" s="2">
        <v>1</v>
      </c>
    </row>
    <row r="20" spans="1:30" s="2" customFormat="1" x14ac:dyDescent="0.3">
      <c r="A20" s="446"/>
      <c r="B20" s="434"/>
      <c r="C20" s="434"/>
      <c r="D20" s="434"/>
      <c r="E20" s="434"/>
      <c r="F20" s="434"/>
      <c r="G20" s="437"/>
      <c r="H20" s="440"/>
      <c r="I20" s="437"/>
      <c r="J20" s="437"/>
      <c r="K20" s="434"/>
      <c r="L20" s="434"/>
      <c r="M20" s="434"/>
      <c r="N20" s="443"/>
      <c r="O20" s="434"/>
      <c r="P20" s="434"/>
      <c r="Q20" s="437"/>
      <c r="R20" s="440"/>
      <c r="S20" s="434"/>
      <c r="T20" s="210">
        <v>45343</v>
      </c>
      <c r="U20" s="434"/>
      <c r="V20" s="207">
        <v>6000.81</v>
      </c>
      <c r="W20" s="210">
        <v>45348</v>
      </c>
      <c r="X20" s="208"/>
      <c r="Y20" s="207"/>
      <c r="Z20" s="207"/>
      <c r="AA20" s="434"/>
      <c r="AB20" s="437"/>
      <c r="AC20" s="431"/>
      <c r="AD20" s="2">
        <v>1</v>
      </c>
    </row>
    <row r="21" spans="1:30" x14ac:dyDescent="0.3">
      <c r="A21" s="14"/>
      <c r="B21" s="14"/>
      <c r="C21" s="14"/>
      <c r="D21" s="14"/>
      <c r="E21" s="14"/>
      <c r="F21" s="14"/>
      <c r="G21" s="15"/>
      <c r="H21" s="16"/>
      <c r="I21" s="105"/>
      <c r="J21" s="105"/>
      <c r="K21" s="14"/>
      <c r="L21" s="14"/>
      <c r="M21" s="14"/>
      <c r="N21" s="29"/>
      <c r="O21" s="14"/>
      <c r="P21" s="14"/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8">
        <v>2</v>
      </c>
    </row>
  </sheetData>
  <sheetProtection algorithmName="SHA-512" hashValue="GsvGQ+bA3BQmHlr7cMDVU1WPfEAmD5qyhLurVrzdLzCxzdlFzX1PY9iiayDvtVPCZ7ubMA4TWaT/0a1OIioWxQ==" saltValue="uFY6jPTkmSJktkC0hPpduA==" spinCount="100000" sheet="1" objects="1" scenarios="1" formatCells="0" formatColumns="0" formatRows="0"/>
  <mergeCells count="27">
    <mergeCell ref="E2:F2"/>
    <mergeCell ref="O2:P2"/>
    <mergeCell ref="Y2:AA2"/>
    <mergeCell ref="T2:U2"/>
    <mergeCell ref="A9:A20"/>
    <mergeCell ref="U9:U20"/>
    <mergeCell ref="AA9:AA20"/>
    <mergeCell ref="B9:B20"/>
    <mergeCell ref="AB9:AB20"/>
    <mergeCell ref="C9:C20"/>
    <mergeCell ref="S9:S20"/>
    <mergeCell ref="AC9:AC20"/>
    <mergeCell ref="D9:D20"/>
    <mergeCell ref="E9:E20"/>
    <mergeCell ref="F9:F20"/>
    <mergeCell ref="G9:G20"/>
    <mergeCell ref="H9:H20"/>
    <mergeCell ref="I9:I20"/>
    <mergeCell ref="J9:J20"/>
    <mergeCell ref="K9:K20"/>
    <mergeCell ref="L9:L20"/>
    <mergeCell ref="M9:M20"/>
    <mergeCell ref="N9:N20"/>
    <mergeCell ref="O9:O20"/>
    <mergeCell ref="P9:P20"/>
    <mergeCell ref="Q9:Q20"/>
    <mergeCell ref="R9:R2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G17"/>
  <sheetViews>
    <sheetView showGridLines="0" zoomScale="50" zoomScaleNormal="50" workbookViewId="0">
      <pane ySplit="8" topLeftCell="A9" activePane="bottomLeft" state="frozen"/>
      <selection pane="bottomLeft" activeCell="C9" sqref="C9"/>
    </sheetView>
  </sheetViews>
  <sheetFormatPr defaultColWidth="0" defaultRowHeight="18" x14ac:dyDescent="0.3"/>
  <cols>
    <col min="1" max="1" width="9.109375" style="8" customWidth="1"/>
    <col min="2" max="2" width="47.109375" style="8" customWidth="1"/>
    <col min="3" max="3" width="33.33203125" style="8" customWidth="1"/>
    <col min="4" max="6" width="33.6640625" style="8" customWidth="1"/>
    <col min="7" max="8" width="22.33203125" style="8" customWidth="1"/>
    <col min="9" max="9" width="24.33203125" style="8" customWidth="1"/>
    <col min="10" max="10" width="28.44140625" style="8" customWidth="1"/>
    <col min="11" max="12" width="19.5546875" style="8" customWidth="1"/>
    <col min="13" max="13" width="25.6640625" style="8" customWidth="1"/>
    <col min="14" max="14" width="24.44140625" style="8" bestFit="1" customWidth="1"/>
    <col min="15" max="15" width="24.44140625" style="8" customWidth="1"/>
    <col min="16" max="16" width="31.5546875" style="8" customWidth="1"/>
    <col min="17" max="18" width="21.88671875" style="8" customWidth="1"/>
    <col min="19" max="19" width="23.5546875" style="8" customWidth="1"/>
    <col min="20" max="20" width="31.8867187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9.44140625" style="8" customWidth="1"/>
    <col min="27" max="27" width="26.33203125" style="8" customWidth="1"/>
    <col min="28" max="28" width="25.109375" style="8" customWidth="1"/>
    <col min="29" max="29" width="19.109375" style="8" customWidth="1"/>
    <col min="30" max="16384" width="9.109375" style="8" hidden="1"/>
  </cols>
  <sheetData>
    <row r="1" spans="1:33" ht="18.600000000000001" thickBot="1" x14ac:dyDescent="0.35"/>
    <row r="2" spans="1:33" ht="39.9" customHeight="1" thickBot="1" x14ac:dyDescent="0.35">
      <c r="E2" s="307" t="s">
        <v>139</v>
      </c>
      <c r="F2" s="308"/>
      <c r="G2" s="100">
        <f>SUM(G9:G9999)</f>
        <v>0</v>
      </c>
      <c r="H2" s="15"/>
      <c r="O2" s="307" t="s">
        <v>24</v>
      </c>
      <c r="P2" s="308"/>
      <c r="Q2" s="98">
        <f>SUM(Q9:Q9999)</f>
        <v>0</v>
      </c>
      <c r="T2" s="281" t="s">
        <v>137</v>
      </c>
      <c r="U2" s="283"/>
      <c r="V2" s="87">
        <f>SUM(V9:V9999)</f>
        <v>0</v>
      </c>
      <c r="X2" s="86"/>
      <c r="Y2" s="281" t="s">
        <v>45</v>
      </c>
      <c r="Z2" s="282"/>
      <c r="AA2" s="283"/>
      <c r="AB2" s="88">
        <f>SUM(AB9:AB9999)</f>
        <v>0</v>
      </c>
    </row>
    <row r="4" spans="1:33" ht="39.9" customHeight="1" x14ac:dyDescent="0.3">
      <c r="P4" s="447"/>
      <c r="Q4" s="447"/>
      <c r="R4" s="447"/>
      <c r="T4" s="102"/>
      <c r="U4" s="102"/>
    </row>
    <row r="6" spans="1:33" ht="126" x14ac:dyDescent="0.3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  <c r="X7" s="94">
        <v>24</v>
      </c>
      <c r="Y7" s="94">
        <v>25</v>
      </c>
      <c r="Z7" s="94">
        <v>26</v>
      </c>
      <c r="AA7" s="94">
        <v>27</v>
      </c>
      <c r="AB7" s="94">
        <v>28</v>
      </c>
      <c r="AC7" s="94">
        <v>29</v>
      </c>
      <c r="AD7" s="16"/>
      <c r="AE7" s="16"/>
      <c r="AF7" s="16"/>
      <c r="AG7" s="16"/>
    </row>
    <row r="8" spans="1:33" s="2" customFormat="1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5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6" t="s">
        <v>81</v>
      </c>
      <c r="V8" s="24">
        <v>8775.01</v>
      </c>
      <c r="W8" s="25">
        <v>43696</v>
      </c>
      <c r="X8" s="26"/>
      <c r="Y8" s="72"/>
      <c r="Z8" s="72"/>
      <c r="AA8" s="26"/>
      <c r="AB8" s="24"/>
      <c r="AC8" s="13" t="s">
        <v>64</v>
      </c>
    </row>
    <row r="9" spans="1:33" hidden="1" x14ac:dyDescent="0.3">
      <c r="M9" s="3"/>
      <c r="AD9" s="8">
        <v>2</v>
      </c>
    </row>
    <row r="10" spans="1:33" hidden="1" x14ac:dyDescent="0.3">
      <c r="M10" s="3"/>
    </row>
    <row r="11" spans="1:33" hidden="1" x14ac:dyDescent="0.3">
      <c r="M11" s="3"/>
    </row>
    <row r="12" spans="1:33" hidden="1" x14ac:dyDescent="0.3">
      <c r="M12" s="3"/>
    </row>
    <row r="13" spans="1:33" hidden="1" x14ac:dyDescent="0.3">
      <c r="M13" s="3"/>
    </row>
    <row r="14" spans="1:33" hidden="1" x14ac:dyDescent="0.3">
      <c r="M14" s="3"/>
    </row>
    <row r="15" spans="1:33" hidden="1" x14ac:dyDescent="0.3">
      <c r="M15" s="3"/>
    </row>
    <row r="16" spans="1:33" hidden="1" x14ac:dyDescent="0.3">
      <c r="M16" s="3"/>
    </row>
    <row r="17" spans="13:13" hidden="1" x14ac:dyDescent="0.3">
      <c r="M17" s="3"/>
    </row>
  </sheetData>
  <sheetProtection algorithmName="SHA-512" hashValue="S/eZ2b39GqfjqgjH0sy6aEBgU6R1DKcym7CH+hNENE+uDvVtka43X0sNpSq8670I2BueNaP8DyIk0lytCayhxg==" saltValue="g5/BuDNC7yxD4Ve0g4BSUA==" spinCount="100000" sheet="1" objects="1" scenarios="1" formatCells="0" formatColumns="0" formatRows="0"/>
  <mergeCells count="5">
    <mergeCell ref="P4:R4"/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09375" defaultRowHeight="15.6" x14ac:dyDescent="0.3"/>
  <cols>
    <col min="1" max="1" width="15.33203125" style="52" customWidth="1"/>
    <col min="2" max="2" width="17.44140625" style="50" customWidth="1"/>
    <col min="3" max="3" width="17.33203125" style="50" customWidth="1"/>
    <col min="4" max="4" width="38.88671875" style="50" customWidth="1"/>
    <col min="5" max="5" width="15.5546875" style="50" bestFit="1" customWidth="1"/>
    <col min="6" max="11" width="16.109375" style="50" customWidth="1"/>
    <col min="12" max="16384" width="9.109375" style="50"/>
  </cols>
  <sheetData>
    <row r="1" spans="1:11" x14ac:dyDescent="0.3">
      <c r="A1" s="65">
        <v>20</v>
      </c>
      <c r="B1" s="65">
        <v>11</v>
      </c>
      <c r="C1" s="65">
        <v>9</v>
      </c>
      <c r="D1" s="450" t="s">
        <v>50</v>
      </c>
      <c r="E1" s="48"/>
      <c r="F1" s="80" t="s">
        <v>108</v>
      </c>
      <c r="G1" s="84" t="s">
        <v>108</v>
      </c>
      <c r="H1" s="83" t="s">
        <v>108</v>
      </c>
      <c r="I1" s="82" t="s">
        <v>108</v>
      </c>
      <c r="J1" s="81" t="s">
        <v>108</v>
      </c>
      <c r="K1" s="85" t="s">
        <v>108</v>
      </c>
    </row>
    <row r="2" spans="1:11" x14ac:dyDescent="0.3">
      <c r="A2" s="66" t="s">
        <v>84</v>
      </c>
      <c r="B2" s="65" t="s">
        <v>85</v>
      </c>
      <c r="C2" s="65" t="s">
        <v>86</v>
      </c>
      <c r="D2" s="451"/>
      <c r="E2" s="48"/>
      <c r="F2" s="80">
        <v>36</v>
      </c>
      <c r="G2" s="84">
        <v>31</v>
      </c>
      <c r="H2" s="83">
        <v>1</v>
      </c>
      <c r="I2" s="82">
        <v>1</v>
      </c>
      <c r="J2" s="81">
        <v>1</v>
      </c>
      <c r="K2" s="85">
        <v>1</v>
      </c>
    </row>
    <row r="3" spans="1:11" x14ac:dyDescent="0.3">
      <c r="A3" s="51"/>
      <c r="B3" s="47"/>
      <c r="C3" s="47"/>
      <c r="D3" s="47"/>
      <c r="E3" s="48"/>
      <c r="F3" s="80" t="s">
        <v>109</v>
      </c>
      <c r="G3" s="84" t="s">
        <v>109</v>
      </c>
      <c r="H3" s="83" t="s">
        <v>109</v>
      </c>
      <c r="I3" s="82" t="s">
        <v>109</v>
      </c>
      <c r="J3" s="81" t="s">
        <v>109</v>
      </c>
      <c r="K3" s="85" t="s">
        <v>109</v>
      </c>
    </row>
    <row r="4" spans="1:11" x14ac:dyDescent="0.3">
      <c r="A4" s="61">
        <v>46</v>
      </c>
      <c r="B4" s="62">
        <v>14</v>
      </c>
      <c r="C4" s="62">
        <v>9</v>
      </c>
      <c r="D4" s="452" t="s">
        <v>102</v>
      </c>
      <c r="E4" s="48"/>
      <c r="F4" s="80">
        <v>37</v>
      </c>
      <c r="G4" s="84">
        <v>32</v>
      </c>
      <c r="H4" s="83">
        <v>2</v>
      </c>
      <c r="I4" s="82">
        <v>2</v>
      </c>
      <c r="J4" s="81">
        <v>2</v>
      </c>
      <c r="K4" s="85">
        <v>2</v>
      </c>
    </row>
    <row r="5" spans="1:11" x14ac:dyDescent="0.3">
      <c r="A5" s="61" t="s">
        <v>89</v>
      </c>
      <c r="B5" s="62" t="s">
        <v>88</v>
      </c>
      <c r="C5" s="62" t="s">
        <v>87</v>
      </c>
      <c r="D5" s="453"/>
      <c r="E5" s="48"/>
      <c r="F5" s="48"/>
      <c r="G5" s="48"/>
      <c r="H5" s="49"/>
      <c r="I5" s="49"/>
      <c r="J5" s="49"/>
    </row>
    <row r="6" spans="1:11" x14ac:dyDescent="0.3">
      <c r="A6" s="51"/>
      <c r="B6" s="47"/>
      <c r="C6" s="47"/>
      <c r="D6" s="47"/>
      <c r="E6" s="48"/>
      <c r="F6" s="48"/>
      <c r="G6" s="48"/>
      <c r="H6" s="49"/>
      <c r="I6" s="49"/>
      <c r="J6" s="49"/>
    </row>
    <row r="7" spans="1:11" x14ac:dyDescent="0.3">
      <c r="A7" s="63">
        <v>11</v>
      </c>
      <c r="B7" s="64">
        <v>1</v>
      </c>
      <c r="C7" s="64">
        <v>9</v>
      </c>
      <c r="D7" s="454" t="s">
        <v>52</v>
      </c>
      <c r="E7" s="48"/>
      <c r="F7" s="48"/>
      <c r="G7" s="48"/>
      <c r="H7" s="49"/>
      <c r="I7" s="49"/>
      <c r="J7" s="49"/>
    </row>
    <row r="8" spans="1:11" x14ac:dyDescent="0.3">
      <c r="A8" s="63" t="s">
        <v>90</v>
      </c>
      <c r="B8" s="64" t="s">
        <v>91</v>
      </c>
      <c r="C8" s="64" t="s">
        <v>92</v>
      </c>
      <c r="D8" s="455"/>
      <c r="E8" s="48"/>
      <c r="F8" s="48"/>
      <c r="G8" s="48"/>
      <c r="H8" s="49"/>
      <c r="I8" s="49"/>
      <c r="J8" s="49"/>
    </row>
    <row r="9" spans="1:11" x14ac:dyDescent="0.3">
      <c r="A9" s="51"/>
      <c r="B9" s="47"/>
      <c r="C9" s="47"/>
      <c r="D9" s="47"/>
      <c r="E9" s="47"/>
      <c r="F9" s="47"/>
      <c r="G9" s="47"/>
    </row>
    <row r="10" spans="1:11" x14ac:dyDescent="0.3">
      <c r="A10" s="59">
        <v>10</v>
      </c>
      <c r="B10" s="60">
        <v>1</v>
      </c>
      <c r="C10" s="60">
        <v>9</v>
      </c>
      <c r="D10" s="456" t="s">
        <v>31</v>
      </c>
      <c r="E10" s="47"/>
      <c r="F10" s="47"/>
      <c r="G10" s="47"/>
    </row>
    <row r="11" spans="1:11" x14ac:dyDescent="0.3">
      <c r="A11" s="59" t="s">
        <v>93</v>
      </c>
      <c r="B11" s="60" t="s">
        <v>94</v>
      </c>
      <c r="C11" s="60" t="s">
        <v>95</v>
      </c>
      <c r="D11" s="457"/>
      <c r="E11" s="47"/>
      <c r="F11" s="47"/>
      <c r="G11" s="47"/>
    </row>
    <row r="12" spans="1:11" x14ac:dyDescent="0.3">
      <c r="A12" s="51"/>
      <c r="B12" s="47"/>
      <c r="C12" s="47"/>
      <c r="D12" s="47"/>
      <c r="E12" s="47"/>
      <c r="F12" s="47"/>
      <c r="G12" s="47"/>
    </row>
    <row r="13" spans="1:11" x14ac:dyDescent="0.3">
      <c r="A13" s="57">
        <v>20</v>
      </c>
      <c r="B13" s="58">
        <v>1</v>
      </c>
      <c r="C13" s="58">
        <v>9</v>
      </c>
      <c r="D13" s="458" t="s">
        <v>49</v>
      </c>
      <c r="E13" s="47"/>
      <c r="F13" s="47"/>
      <c r="G13" s="47"/>
    </row>
    <row r="14" spans="1:11" x14ac:dyDescent="0.3">
      <c r="A14" s="57" t="s">
        <v>96</v>
      </c>
      <c r="B14" s="58" t="s">
        <v>97</v>
      </c>
      <c r="C14" s="58" t="s">
        <v>98</v>
      </c>
      <c r="D14" s="459"/>
      <c r="E14" s="47"/>
      <c r="F14" s="47"/>
      <c r="G14" s="47"/>
    </row>
    <row r="15" spans="1:11" x14ac:dyDescent="0.3">
      <c r="A15" s="51"/>
      <c r="B15" s="47"/>
      <c r="C15" s="47"/>
      <c r="D15" s="47"/>
      <c r="E15" s="47"/>
      <c r="F15" s="47"/>
      <c r="G15" s="47"/>
    </row>
    <row r="16" spans="1:11" x14ac:dyDescent="0.3">
      <c r="A16" s="55">
        <v>8</v>
      </c>
      <c r="B16" s="56">
        <v>0</v>
      </c>
      <c r="C16" s="56">
        <v>9</v>
      </c>
      <c r="D16" s="448" t="s">
        <v>83</v>
      </c>
      <c r="E16" s="47"/>
      <c r="F16" s="47"/>
      <c r="G16" s="47"/>
    </row>
    <row r="17" spans="1:4" x14ac:dyDescent="0.3">
      <c r="A17" s="55" t="s">
        <v>99</v>
      </c>
      <c r="B17" s="56" t="s">
        <v>100</v>
      </c>
      <c r="C17" s="56" t="s">
        <v>101</v>
      </c>
      <c r="D17" s="449"/>
    </row>
    <row r="18" spans="1:4" x14ac:dyDescent="0.3">
      <c r="A18" s="51"/>
    </row>
    <row r="19" spans="1:4" x14ac:dyDescent="0.3">
      <c r="A19" s="51"/>
    </row>
    <row r="20" spans="1:4" x14ac:dyDescent="0.3">
      <c r="A20" s="51"/>
    </row>
    <row r="21" spans="1:4" x14ac:dyDescent="0.3">
      <c r="A21" s="51"/>
    </row>
    <row r="22" spans="1:4" x14ac:dyDescent="0.3">
      <c r="A22" s="51"/>
    </row>
    <row r="23" spans="1:4" x14ac:dyDescent="0.3">
      <c r="A23" s="51"/>
    </row>
    <row r="24" spans="1:4" x14ac:dyDescent="0.3">
      <c r="A24" s="51"/>
    </row>
    <row r="25" spans="1:4" x14ac:dyDescent="0.3">
      <c r="A25" s="51"/>
    </row>
    <row r="26" spans="1:4" x14ac:dyDescent="0.3">
      <c r="A26" s="51"/>
    </row>
    <row r="27" spans="1:4" x14ac:dyDescent="0.3">
      <c r="A27" s="51"/>
    </row>
    <row r="28" spans="1:4" x14ac:dyDescent="0.3">
      <c r="A28" s="51"/>
    </row>
    <row r="29" spans="1:4" x14ac:dyDescent="0.3">
      <c r="A29" s="51"/>
    </row>
    <row r="30" spans="1:4" x14ac:dyDescent="0.3">
      <c r="A30" s="51"/>
    </row>
    <row r="31" spans="1:4" x14ac:dyDescent="0.3">
      <c r="A31" s="51"/>
    </row>
    <row r="32" spans="1:4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81" spans="1:1" x14ac:dyDescent="0.3">
      <c r="A81" s="53"/>
    </row>
    <row r="82" spans="1:1" x14ac:dyDescent="0.3">
      <c r="A82" s="53"/>
    </row>
    <row r="83" spans="1:1" x14ac:dyDescent="0.3">
      <c r="A83" s="54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Владелец</cp:lastModifiedBy>
  <cp:lastPrinted>2019-09-24T06:31:40Z</cp:lastPrinted>
  <dcterms:created xsi:type="dcterms:W3CDTF">2017-01-25T04:28:39Z</dcterms:created>
  <dcterms:modified xsi:type="dcterms:W3CDTF">2024-03-05T10:21:45Z</dcterms:modified>
</cp:coreProperties>
</file>