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23040" windowHeight="8616" tabRatio="603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 iterate="1"/>
</workbook>
</file>

<file path=xl/calcChain.xml><?xml version="1.0" encoding="utf-8"?>
<calcChain xmlns="http://schemas.openxmlformats.org/spreadsheetml/2006/main">
  <c r="H9" i="17" l="1"/>
  <c r="R9" i="17"/>
  <c r="G2" i="17"/>
  <c r="Q2" i="17"/>
  <c r="V2" i="17"/>
  <c r="AB2" i="17"/>
  <c r="H9" i="22"/>
  <c r="R9" i="22"/>
  <c r="G2" i="22"/>
  <c r="Q2" i="22"/>
  <c r="V2" i="22"/>
  <c r="AB2" i="22"/>
  <c r="G2" i="19"/>
  <c r="N2" i="19"/>
  <c r="T2" i="19"/>
  <c r="I71" i="31"/>
  <c r="I75" i="31"/>
  <c r="I40" i="31"/>
  <c r="H2" i="31"/>
  <c r="P2" i="31"/>
  <c r="V2" i="31"/>
  <c r="H2" i="27"/>
  <c r="P2" i="27"/>
  <c r="V2" i="27"/>
  <c r="I82" i="31"/>
  <c r="I79" i="31"/>
  <c r="I59" i="31"/>
  <c r="I44" i="31"/>
  <c r="I9" i="27"/>
  <c r="I22" i="27"/>
  <c r="I15" i="27"/>
  <c r="I62" i="31"/>
  <c r="I9" i="31"/>
  <c r="I26" i="31"/>
  <c r="I16" i="31"/>
  <c r="I26" i="27" l="1"/>
  <c r="I25" i="27" l="1"/>
  <c r="I24" i="27"/>
  <c r="I100" i="31"/>
  <c r="I21" i="27"/>
  <c r="I20" i="27"/>
  <c r="I99" i="31" l="1"/>
  <c r="I98" i="31"/>
  <c r="I12" i="31" l="1"/>
  <c r="I97" i="31" l="1"/>
  <c r="I96" i="31"/>
  <c r="I19" i="27"/>
  <c r="I14" i="27"/>
  <c r="I95" i="31"/>
  <c r="I94" i="31"/>
  <c r="I92" i="31"/>
  <c r="I88" i="31" l="1"/>
  <c r="G2" i="20" l="1"/>
  <c r="Q2" i="20"/>
  <c r="V2" i="20"/>
  <c r="AB2" i="20"/>
  <c r="I13" i="27"/>
  <c r="I12" i="27"/>
  <c r="I27" i="27"/>
  <c r="H12" i="19" l="1"/>
  <c r="I91" i="31" l="1"/>
  <c r="I90" i="31" l="1"/>
  <c r="I39" i="31" l="1"/>
  <c r="I34" i="31"/>
  <c r="I29" i="31"/>
  <c r="H9" i="19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D12" i="21"/>
  <c r="J12" i="21"/>
  <c r="D19" i="21"/>
  <c r="G14" i="21" l="1"/>
  <c r="M14" i="21" s="1"/>
  <c r="G12" i="21"/>
  <c r="M13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<sst xmlns="http://schemas.openxmlformats.org/spreadsheetml/2006/main" count="769" uniqueCount="276">
  <si>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</si>
  <si>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</si>
  <si>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</si>
  <si>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</si>
  <si>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</si>
  <si>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</si>
  <si>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</si>
  <si>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</si>
  <si>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</si>
  <si>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</si>
  <si>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</si>
  <si>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</si>
  <si>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</si>
  <si>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</si>
  <si>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</si>
  <si>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</si>
  <si>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</si>
  <si>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</si>
  <si>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</si>
  <si>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</si>
  <si>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</si>
  <si>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</si>
  <si>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</si>
  <si>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</si>
  <si>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</si>
  <si>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</si>
  <si>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</si>
  <si>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</si>
  <si>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</si>
  <si>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</si>
  <si>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</si>
  <si>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</si>
  <si>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</si>
  <si>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</si>
  <si>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</si>
  <si>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</si>
  <si>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</si>
  <si>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</si>
  <si>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</si>
  <si>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</si>
  <si>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</si>
  <si>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</si>
  <si>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</si>
  <si>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</si>
  <si>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</si>
  <si>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</si>
  <si>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</si>
  <si>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</si>
  <si>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</si>
  <si>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</si>
  <si>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</si>
  <si>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</si>
  <si>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</si>
  <si>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</si>
  <si>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</si>
  <si>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</si>
  <si>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</si>
  <si>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</si>
  <si>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</si>
  <si>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</si>
  <si>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</si>
  <si>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</si>
  <si>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</si>
  <si>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</si>
  <si>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</si>
  <si>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</si>
  <si>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</si>
  <si>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</si>
  <si>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</si>
  <si>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</si>
  <si>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</si>
  <si>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</si>
  <si>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</si>
  <si>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</si>
  <si>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</si>
  <si>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</si>
  <si>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</si>
  <si>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</si>
  <si>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</si>
  <si>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</si>
  <si>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</si>
  <si>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</si>
  <si>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</si>
  <si>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</si>
  <si>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</si>
  <si>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</si>
  <si>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</si>
  <si>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</si>
  <si>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</si>
  <si>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</si>
  <si>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</si>
  <si>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</si>
  <si>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</si>
  <si>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</si>
  <si>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</si>
  <si>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</si>
  <si>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</si>
  <si>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</si>
  <si>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</si>
  <si>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</si>
  <si>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</si>
  <si>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</si>
  <si>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</si>
  <si>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</si>
  <si>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</si>
  <si>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</si>
  <si>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</si>
  <si>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</si>
  <si>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</si>
  <si>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</si>
  <si>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</si>
  <si>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</si>
  <si>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</si>
  <si>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</si>
  <si>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</si>
  <si>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</si>
  <si>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</si>
  <si>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</si>
  <si>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</si>
  <si>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</si>
  <si>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</si>
  <si>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</si>
  <si>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</si>
  <si>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</si>
  <si>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</si>
  <si>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</si>
  <si>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</si>
  <si>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</si>
  <si>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</si>
  <si>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</si>
  <si>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</si>
  <si>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</si>
  <si>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</si>
  <si>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</si>
  <si>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</si>
  <si>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</si>
  <si>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</si>
  <si>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</si>
  <si>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</si>
  <si>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</si>
  <si>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</si>
  <si>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</si>
  <si>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</si>
  <si>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</si>
  <si>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</si>
  <si>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</si>
  <si>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</si>
  <si>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</si>
  <si>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</si>
  <si>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</si>
  <si>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</si>
  <si>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</si>
  <si>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</si>
  <si>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</si>
  <si>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</si>
  <si>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</si>
  <si>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</si>
  <si>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</si>
  <si>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</si>
  <si>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ИП Барма</t>
  </si>
  <si>
    <t>МБОУ СОШ №6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</si>
  <si>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</si>
  <si>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</si>
  <si>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</si>
  <si>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</si>
  <si>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</si>
  <si>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</si>
  <si>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</si>
  <si>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</si>
  <si>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</si>
  <si>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</si>
  <si>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</si>
  <si>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</si>
  <si>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</si>
  <si>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</si>
  <si>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</si>
  <si>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</si>
  <si>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питания детей</t>
  </si>
  <si>
    <t>2353020735</t>
  </si>
  <si>
    <t>ООО "Тимашевское ПРТ райпо"</t>
  </si>
  <si>
    <t>0818300019923000374</t>
  </si>
  <si>
    <t>Услуги частной охраны (Выставление поста охраны)</t>
  </si>
  <si>
    <t>Общество с ограниченной ответственностью Частная охранная организация "Легион"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</si>
  <si>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</si>
  <si>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</si>
  <si>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</si>
  <si>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</si>
  <si>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</si>
  <si>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</si>
  <si>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</si>
  <si>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</si>
  <si>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ремонт автобуса</t>
  </si>
  <si>
    <t>243235301409723530100100140015629244</t>
  </si>
  <si>
    <t>0818300019924000321</t>
  </si>
  <si>
    <t>32353014097 24 000007</t>
  </si>
  <si>
    <t>24 32353014097235301001 0015 001 8010 244</t>
  </si>
  <si>
    <t>32353014097 24 000008</t>
  </si>
  <si>
    <t>0818300019924000328</t>
  </si>
  <si>
    <t>оказание услуг по организации питания многодетные</t>
  </si>
  <si>
    <t>2024.478899</t>
  </si>
  <si>
    <t>ООО "Альянс Розница"</t>
  </si>
  <si>
    <t>ДГ-25/109</t>
  </si>
  <si>
    <t>18/25</t>
  </si>
  <si>
    <t>34001035</t>
  </si>
  <si>
    <t>ТО кнопки тревожной сигнализации</t>
  </si>
  <si>
    <t xml:space="preserve">оказание услуг  по организации питания учащихся </t>
  </si>
  <si>
    <t>К029149/25</t>
  </si>
  <si>
    <t>программное обеспечение</t>
  </si>
  <si>
    <t>ОА "ПФ "СКБ Контур"</t>
  </si>
  <si>
    <t>в течение 10 (десяти) рабочих дней с момента его получения путем перечисления 30% суммы, указанной в счете. Оставшиеся 70% Лицензиат обязан оплатить в течение 10 (десяти) рабочих дней с даты, указанной в акте сдачи-приемки или УПД.</t>
  </si>
  <si>
    <t>ИП Аполонов</t>
  </si>
  <si>
    <t>210012514659-122024</t>
  </si>
  <si>
    <t>услуга по идентификации АСН в ГАИС "ЭРА-ГЛОНАСС"</t>
  </si>
  <si>
    <t>7703383783</t>
  </si>
  <si>
    <t>АО "ГЛОНАСС"</t>
  </si>
  <si>
    <t>23-12034</t>
  </si>
  <si>
    <t>Полиграфическая продукция</t>
  </si>
  <si>
    <t>7706526550</t>
  </si>
  <si>
    <t>ООО "СБМ"</t>
  </si>
  <si>
    <t>А0174377</t>
  </si>
  <si>
    <t>Поставка учебной литературы</t>
  </si>
  <si>
    <t>АО "Издательство "Просвещение"</t>
  </si>
  <si>
    <t>А0172245</t>
  </si>
  <si>
    <t>Поставка учебников</t>
  </si>
  <si>
    <t>до 30 июня 2025</t>
  </si>
  <si>
    <t>В течение 10 рабочих дней со дня подписания Заказчиком УПД</t>
  </si>
  <si>
    <t>Поставка мебели</t>
  </si>
  <si>
    <t>235306300848</t>
  </si>
  <si>
    <t>Самозанятый гражданин Егорова Виктория Павловна</t>
  </si>
  <si>
    <t>6/25</t>
  </si>
  <si>
    <t>Дезинфекция</t>
  </si>
  <si>
    <t>ООО "Дезинфекция"</t>
  </si>
  <si>
    <t>Шины</t>
  </si>
  <si>
    <t>235303483777</t>
  </si>
  <si>
    <t>06/26.02</t>
  </si>
  <si>
    <t>ООО "Вольный странник"</t>
  </si>
  <si>
    <t>книги</t>
  </si>
  <si>
    <t>Мясорубка</t>
  </si>
  <si>
    <t>ИП Латышева</t>
  </si>
  <si>
    <t>Услуги связи</t>
  </si>
  <si>
    <t>7707049388</t>
  </si>
  <si>
    <t>ПАО "Ростелеком"</t>
  </si>
  <si>
    <t>баннеры</t>
  </si>
  <si>
    <t>235303800426</t>
  </si>
  <si>
    <t>ИП Шашанков</t>
  </si>
  <si>
    <t>Форма</t>
  </si>
  <si>
    <t>ИП Котляров Е.В.</t>
  </si>
  <si>
    <t>97</t>
  </si>
  <si>
    <t>медосмотр</t>
  </si>
  <si>
    <t>ГБУЗ "Тимашевская ЦРБ"</t>
  </si>
  <si>
    <t>2025.080044</t>
  </si>
  <si>
    <t>6-25-К</t>
  </si>
  <si>
    <t>Дезинсекция</t>
  </si>
  <si>
    <t>2353018870</t>
  </si>
  <si>
    <t>73-ЭО</t>
  </si>
  <si>
    <t>Оказание консультационных услуг по составлению отчетности</t>
  </si>
  <si>
    <t>235306110100</t>
  </si>
  <si>
    <t>ИП Казерова</t>
  </si>
  <si>
    <t>бн</t>
  </si>
  <si>
    <t>поставка учебно-педагогической документации</t>
  </si>
  <si>
    <t>ООО "Краснодарский учколлектор"</t>
  </si>
  <si>
    <t>К143186/25</t>
  </si>
  <si>
    <t>Право использования программы для ЭВМ</t>
  </si>
  <si>
    <t>6663003127</t>
  </si>
  <si>
    <t>АО "Производственная фирма "СКБ Контур"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</si>
  <si>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</si>
  <si>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ИП Тарануха</t>
  </si>
  <si>
    <t>233003348389</t>
  </si>
  <si>
    <t>Канцтовары, бумага</t>
  </si>
  <si>
    <t>Ремонт МФУ</t>
  </si>
  <si>
    <t>235300809163</t>
  </si>
  <si>
    <t>ИП Коваленко</t>
  </si>
  <si>
    <t>126</t>
  </si>
  <si>
    <t>шиномонтаж</t>
  </si>
  <si>
    <t>235305769122</t>
  </si>
  <si>
    <t>31.03.202,5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</si>
</sst>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Border="1" applyAlignment="1">
      <alignment horizontal="center" vertical="center" wrapText="1"/>
    </xf>
    <xf numFmtId="49" fontId="1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Border="1" applyAlignment="1" applyProtection="1">
      <alignment horizontal="center" vertical="center" wrapText="1"/>
      <protection locked="0"/>
    </xf>
    <xf numFmtId="7" fontId="1" fillId="0" borderId="37" xfId="0" applyNumberFormat="1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4" fontId="1" fillId="0" borderId="37" xfId="0" applyNumberFormat="1" applyFont="1" applyBorder="1" applyAlignment="1" applyProtection="1">
      <alignment horizontal="center" vertical="center" wrapText="1"/>
      <protection locked="0"/>
    </xf>
    <xf numFmtId="4" fontId="1" fillId="0" borderId="37" xfId="0" applyNumberFormat="1" applyFont="1" applyBorder="1" applyAlignment="1">
      <alignment horizontal="center" vertical="center" wrapText="1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7" xfId="0" applyNumberFormat="1" applyFont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>
      <alignment horizontal="center" vertical="center" wrapText="1"/>
    </xf>
    <xf numFmtId="16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168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168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>
      <alignment horizontal="center" vertical="center" wrapText="1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55" xfId="0" applyFont="1" applyBorder="1" applyAlignment="1" applyProtection="1">
      <alignment vertical="center"/>
      <protection locked="0"/>
    </xf>
    <xf numFmtId="0" fontId="16" fillId="0" borderId="58" xfId="0" applyFont="1" applyBorder="1" applyAlignment="1" applyProtection="1">
      <alignment vertical="center"/>
      <protection locked="0"/>
    </xf>
    <xf numFmtId="0" fontId="16" fillId="0" borderId="61" xfId="0" applyFont="1" applyBorder="1" applyAlignment="1" applyProtection="1">
      <alignment vertical="center"/>
      <protection locked="0"/>
    </xf>
    <xf numFmtId="0" fontId="17" fillId="4" borderId="55" xfId="0" applyFont="1" applyFill="1" applyBorder="1" applyAlignment="1" applyProtection="1">
      <alignment vertical="center" wrapText="1"/>
      <protection locked="0"/>
    </xf>
    <xf numFmtId="0" fontId="17" fillId="4" borderId="58" xfId="0" applyFont="1" applyFill="1" applyBorder="1" applyAlignment="1" applyProtection="1">
      <alignment vertical="center" wrapText="1"/>
      <protection locked="0"/>
    </xf>
    <xf numFmtId="0" fontId="17" fillId="4" borderId="61" xfId="0" applyFont="1" applyFill="1" applyBorder="1" applyAlignment="1" applyProtection="1">
      <alignment vertical="center" wrapText="1"/>
      <protection locked="0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>
      <alignment horizontal="center" vertical="center" wrapText="1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6583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4</xdr:row>
      <xdr:rowOff>874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4</xdr:row>
      <xdr:rowOff>873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7" zoomScale="70" zoomScaleNormal="70" workbookViewId="0">
      <selection activeCell="H4" sqref="H4:J4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285" t="s">
        <v>141</v>
      </c>
      <c r="B1" s="286"/>
      <c r="C1" s="286"/>
      <c r="D1" s="286"/>
      <c r="E1" s="285" t="s">
        <v>160</v>
      </c>
      <c r="F1" s="286"/>
      <c r="G1" s="286"/>
      <c r="H1" s="286"/>
      <c r="I1" s="286"/>
      <c r="J1" s="286"/>
      <c r="K1" s="286"/>
      <c r="L1" s="286"/>
      <c r="M1" s="286"/>
      <c r="N1" s="287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261" t="s">
        <v>25</v>
      </c>
      <c r="B4" s="262"/>
      <c r="C4" s="4">
        <v>14526356.25</v>
      </c>
      <c r="D4" s="5"/>
      <c r="E4" s="263" t="s">
        <v>140</v>
      </c>
      <c r="F4" s="264"/>
      <c r="G4" s="265"/>
      <c r="H4" s="266">
        <v>2000000</v>
      </c>
      <c r="I4" s="267"/>
      <c r="J4" s="268"/>
      <c r="K4" s="22"/>
      <c r="L4" s="99" t="s">
        <v>55</v>
      </c>
      <c r="M4" s="263">
        <v>7654713.4400000004</v>
      </c>
      <c r="N4" s="265"/>
    </row>
    <row r="5" spans="1:14" ht="30.75" customHeight="1" thickBot="1" x14ac:dyDescent="0.35">
      <c r="A5" s="261" t="s">
        <v>26</v>
      </c>
      <c r="B5" s="262"/>
      <c r="C5" s="6">
        <f>C4-G15+J15</f>
        <v>6939731.129999999</v>
      </c>
      <c r="D5" s="5"/>
      <c r="E5" s="263" t="s">
        <v>53</v>
      </c>
      <c r="F5" s="264"/>
      <c r="G5" s="265"/>
      <c r="H5" s="253">
        <f>H4-G12</f>
        <v>1790165.53</v>
      </c>
      <c r="I5" s="254"/>
      <c r="J5" s="255"/>
      <c r="K5" s="22"/>
      <c r="L5" s="99" t="s">
        <v>54</v>
      </c>
      <c r="M5" s="256">
        <f>M4-G13</f>
        <v>4892321.3500000006</v>
      </c>
      <c r="N5" s="257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269" t="s">
        <v>27</v>
      </c>
      <c r="B8" s="270"/>
      <c r="C8" s="271"/>
      <c r="D8" s="269" t="s">
        <v>28</v>
      </c>
      <c r="E8" s="270"/>
      <c r="F8" s="271"/>
      <c r="G8" s="272" t="s">
        <v>29</v>
      </c>
      <c r="H8" s="273"/>
      <c r="I8" s="274"/>
      <c r="J8" s="272" t="s">
        <v>142</v>
      </c>
      <c r="K8" s="273"/>
      <c r="L8" s="274"/>
      <c r="M8" s="269" t="s">
        <v>30</v>
      </c>
      <c r="N8" s="271"/>
    </row>
    <row r="9" spans="1:14" ht="41.25" customHeight="1" thickBot="1" x14ac:dyDescent="0.35">
      <c r="A9" s="275" t="s">
        <v>31</v>
      </c>
      <c r="B9" s="276"/>
      <c r="C9" s="277"/>
      <c r="D9" s="278">
        <f>'Состоявшиеся аукционы'!G2</f>
        <v>740880</v>
      </c>
      <c r="E9" s="278"/>
      <c r="F9" s="278"/>
      <c r="G9" s="278">
        <f>'Состоявшиеся аукционы'!Q2</f>
        <v>674200.8</v>
      </c>
      <c r="H9" s="278"/>
      <c r="I9" s="278"/>
      <c r="J9" s="258">
        <f>'Состоявшиеся аукционы'!AB2</f>
        <v>0</v>
      </c>
      <c r="K9" s="260"/>
      <c r="L9" s="259"/>
      <c r="M9" s="278">
        <f t="shared" ref="M9:M15" si="0">D9-G9</f>
        <v>66679.199999999953</v>
      </c>
      <c r="N9" s="278"/>
    </row>
    <row r="10" spans="1:14" ht="78.75" customHeight="1" thickBot="1" x14ac:dyDescent="0.35">
      <c r="A10" s="275" t="s">
        <v>49</v>
      </c>
      <c r="B10" s="276"/>
      <c r="C10" s="277"/>
      <c r="D10" s="278">
        <f>'Несостоявшиеся аукционы'!G2</f>
        <v>1599844.19</v>
      </c>
      <c r="E10" s="278"/>
      <c r="F10" s="278"/>
      <c r="G10" s="278">
        <f>'Несостоявшиеся аукционы'!Q2</f>
        <v>1599844.19</v>
      </c>
      <c r="H10" s="278"/>
      <c r="I10" s="278"/>
      <c r="J10" s="258">
        <f>'Несостоявшиеся аукционы'!AB2</f>
        <v>0</v>
      </c>
      <c r="K10" s="260"/>
      <c r="L10" s="259"/>
      <c r="M10" s="278">
        <f t="shared" si="0"/>
        <v>0</v>
      </c>
      <c r="N10" s="278"/>
    </row>
    <row r="11" spans="1:14" ht="40.5" customHeight="1" thickBot="1" x14ac:dyDescent="0.35">
      <c r="A11" s="275" t="s">
        <v>83</v>
      </c>
      <c r="B11" s="276"/>
      <c r="C11" s="277"/>
      <c r="D11" s="258">
        <f>'Иные конкурентные закупки'!G2</f>
        <v>0</v>
      </c>
      <c r="E11" s="260"/>
      <c r="F11" s="259"/>
      <c r="G11" s="258">
        <f>'Иные конкурентные закупки'!Q2</f>
        <v>0</v>
      </c>
      <c r="H11" s="260"/>
      <c r="I11" s="259"/>
      <c r="J11" s="258">
        <f>'Иные конкурентные закупки'!AB2</f>
        <v>0</v>
      </c>
      <c r="K11" s="260"/>
      <c r="L11" s="259"/>
      <c r="M11" s="258">
        <f t="shared" si="0"/>
        <v>0</v>
      </c>
      <c r="N11" s="259"/>
    </row>
    <row r="12" spans="1:14" ht="54.75" customHeight="1" thickBot="1" x14ac:dyDescent="0.35">
      <c r="A12" s="282" t="s">
        <v>50</v>
      </c>
      <c r="B12" s="283"/>
      <c r="C12" s="284"/>
      <c r="D12" s="278">
        <f>'Ед. поставщик п.4 ч.1'!H2</f>
        <v>209834.47</v>
      </c>
      <c r="E12" s="278"/>
      <c r="F12" s="278"/>
      <c r="G12" s="278">
        <f>D12</f>
        <v>209834.47</v>
      </c>
      <c r="H12" s="278"/>
      <c r="I12" s="278"/>
      <c r="J12" s="258">
        <f>'Ед. поставщик п.4 ч.1'!V2</f>
        <v>0</v>
      </c>
      <c r="K12" s="260"/>
      <c r="L12" s="259"/>
      <c r="M12" s="278">
        <f t="shared" si="0"/>
        <v>0</v>
      </c>
      <c r="N12" s="278"/>
    </row>
    <row r="13" spans="1:14" ht="45.75" customHeight="1" thickBot="1" x14ac:dyDescent="0.35">
      <c r="A13" s="282" t="s">
        <v>51</v>
      </c>
      <c r="B13" s="283"/>
      <c r="C13" s="284"/>
      <c r="D13" s="278">
        <f>'Ед. поставщик п.5 ч.1'!H2</f>
        <v>2762392.09</v>
      </c>
      <c r="E13" s="278"/>
      <c r="F13" s="278"/>
      <c r="G13" s="278">
        <f>D13</f>
        <v>2762392.09</v>
      </c>
      <c r="H13" s="278"/>
      <c r="I13" s="278"/>
      <c r="J13" s="258">
        <f>'Ед. поставщик п.5 ч.1'!V2</f>
        <v>0</v>
      </c>
      <c r="K13" s="260"/>
      <c r="L13" s="259"/>
      <c r="M13" s="278">
        <f t="shared" si="0"/>
        <v>0</v>
      </c>
      <c r="N13" s="278"/>
    </row>
    <row r="14" spans="1:14" ht="45.75" customHeight="1" thickBot="1" x14ac:dyDescent="0.35">
      <c r="A14" s="300" t="s">
        <v>52</v>
      </c>
      <c r="B14" s="301"/>
      <c r="C14" s="302"/>
      <c r="D14" s="258">
        <f>'Ед.поставщик за искл. п.4,5 ч.1'!G2</f>
        <v>2340353.5699999998</v>
      </c>
      <c r="E14" s="260"/>
      <c r="F14" s="259"/>
      <c r="G14" s="258">
        <f>D14</f>
        <v>2340353.5699999998</v>
      </c>
      <c r="H14" s="260"/>
      <c r="I14" s="259"/>
      <c r="J14" s="258">
        <f>'Ед.поставщик за искл. п.4,5 ч.1'!T2</f>
        <v>0</v>
      </c>
      <c r="K14" s="260"/>
      <c r="L14" s="259"/>
      <c r="M14" s="278">
        <f t="shared" si="0"/>
        <v>0</v>
      </c>
      <c r="N14" s="278"/>
    </row>
    <row r="15" spans="1:14" ht="21.6" thickBot="1" x14ac:dyDescent="0.35">
      <c r="A15" s="279" t="s">
        <v>143</v>
      </c>
      <c r="B15" s="280"/>
      <c r="C15" s="281"/>
      <c r="D15" s="278">
        <f>SUM(D9:D14)</f>
        <v>7653304.3200000003</v>
      </c>
      <c r="E15" s="278"/>
      <c r="F15" s="278"/>
      <c r="G15" s="258">
        <f>SUM(G9:G14)</f>
        <v>7586625.120000001</v>
      </c>
      <c r="H15" s="260"/>
      <c r="I15" s="259"/>
      <c r="J15" s="258">
        <f>SUM(J9:J14)</f>
        <v>0</v>
      </c>
      <c r="K15" s="260"/>
      <c r="L15" s="259"/>
      <c r="M15" s="278">
        <f t="shared" si="0"/>
        <v>66679.199999999255</v>
      </c>
      <c r="N15" s="278"/>
    </row>
    <row r="17" spans="1:12" x14ac:dyDescent="0.3">
      <c r="K17" s="145"/>
    </row>
    <row r="18" spans="1:12" ht="15" thickBot="1" x14ac:dyDescent="0.35">
      <c r="K18" s="145"/>
    </row>
    <row r="19" spans="1:12" ht="23.25" customHeight="1" x14ac:dyDescent="0.3">
      <c r="A19" s="288" t="s">
        <v>35</v>
      </c>
      <c r="B19" s="289"/>
      <c r="C19" s="290"/>
      <c r="D19" s="294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4421616.6399999997</v>
      </c>
      <c r="E19" s="295"/>
      <c r="F19" s="295"/>
      <c r="G19" s="296"/>
      <c r="I19" s="20"/>
      <c r="J19" s="20"/>
      <c r="K19" s="20"/>
      <c r="L19" s="20"/>
    </row>
    <row r="20" spans="1:12" ht="24" customHeight="1" thickBot="1" x14ac:dyDescent="0.35">
      <c r="A20" s="291"/>
      <c r="B20" s="292"/>
      <c r="C20" s="293"/>
      <c r="D20" s="297"/>
      <c r="E20" s="298"/>
      <c r="F20" s="298"/>
      <c r="G20" s="299"/>
      <c r="I20" s="20"/>
      <c r="J20" s="20"/>
      <c r="K20" s="20"/>
      <c r="L20" s="20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32"/>
  <sheetViews>
    <sheetView showGridLines="0" topLeftCell="H1" zoomScale="60" zoomScaleNormal="60" workbookViewId="0">
      <pane ySplit="8" topLeftCell="A26" activePane="bottomLeft" state="frozen"/>
      <selection activeCell="I1" sqref="I1"/>
      <selection pane="bottomLeft" activeCell="H28" sqref="H28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3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SUM(H9:H9999)</f>
        <v>209834.47</v>
      </c>
      <c r="K2" s="327"/>
      <c r="L2" s="327"/>
      <c r="M2" s="327"/>
      <c r="N2" s="328" t="s">
        <v>137</v>
      </c>
      <c r="O2" s="330"/>
      <c r="P2" s="87">
        <f>SUM(P9:P9999)</f>
        <v>176340.3</v>
      </c>
      <c r="R2" s="86"/>
      <c r="S2" s="328" t="s">
        <v>45</v>
      </c>
      <c r="T2" s="329"/>
      <c r="U2" s="330"/>
      <c r="V2" s="88">
        <f>SUM(V9:V9999)</f>
        <v>0</v>
      </c>
    </row>
    <row r="3" spans="1:24" x14ac:dyDescent="0.3">
      <c r="A3" s="327"/>
      <c r="B3" s="327"/>
      <c r="C3" s="327"/>
      <c r="D3" s="327"/>
      <c r="E3" s="327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331"/>
      <c r="K4" s="331"/>
      <c r="M4" s="331"/>
      <c r="N4" s="331"/>
      <c r="O4" s="331"/>
      <c r="P4" s="331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5" customFormat="1" ht="144" customHeight="1" x14ac:dyDescent="0.3">
      <c r="A9" s="321">
        <v>1</v>
      </c>
      <c r="B9" s="306" t="s">
        <v>56</v>
      </c>
      <c r="C9" s="306" t="s">
        <v>146</v>
      </c>
      <c r="D9" s="306" t="s">
        <v>147</v>
      </c>
      <c r="E9" s="309" t="s">
        <v>211</v>
      </c>
      <c r="F9" s="312">
        <v>45680</v>
      </c>
      <c r="G9" s="306" t="s">
        <v>212</v>
      </c>
      <c r="H9" s="315">
        <v>15000</v>
      </c>
      <c r="I9" s="318">
        <f>IF(X9 = 23, H9 + SUM(S9:S11) - SUM(T9:T11) - SUM(P9:P11) - V9,0)</f>
        <v>13830</v>
      </c>
      <c r="J9" s="306" t="s">
        <v>213</v>
      </c>
      <c r="K9" s="306" t="s">
        <v>214</v>
      </c>
      <c r="L9" s="306" t="s">
        <v>146</v>
      </c>
      <c r="M9" s="306"/>
      <c r="N9" s="239">
        <v>45688</v>
      </c>
      <c r="O9" s="312" t="s">
        <v>183</v>
      </c>
      <c r="P9" s="230">
        <v>390</v>
      </c>
      <c r="Q9" s="231">
        <v>45706</v>
      </c>
      <c r="R9" s="232"/>
      <c r="S9" s="230"/>
      <c r="T9" s="230"/>
      <c r="U9" s="315"/>
      <c r="V9" s="323"/>
      <c r="W9" s="303"/>
      <c r="X9" s="105">
        <v>23</v>
      </c>
    </row>
    <row r="10" spans="1:24" s="178" customFormat="1" x14ac:dyDescent="0.3">
      <c r="A10" s="326"/>
      <c r="B10" s="307"/>
      <c r="C10" s="307"/>
      <c r="D10" s="307"/>
      <c r="E10" s="310"/>
      <c r="F10" s="313"/>
      <c r="G10" s="307"/>
      <c r="H10" s="316"/>
      <c r="I10" s="319"/>
      <c r="J10" s="307"/>
      <c r="K10" s="307"/>
      <c r="L10" s="307"/>
      <c r="M10" s="307"/>
      <c r="N10" s="240">
        <v>45716</v>
      </c>
      <c r="O10" s="313"/>
      <c r="P10" s="233">
        <v>390</v>
      </c>
      <c r="Q10" s="234">
        <v>45729</v>
      </c>
      <c r="R10" s="235"/>
      <c r="S10" s="233"/>
      <c r="T10" s="233"/>
      <c r="U10" s="316"/>
      <c r="V10" s="325"/>
      <c r="W10" s="304"/>
      <c r="X10" s="178">
        <v>23</v>
      </c>
    </row>
    <row r="11" spans="1:24" s="228" customFormat="1" x14ac:dyDescent="0.3">
      <c r="A11" s="322"/>
      <c r="B11" s="308"/>
      <c r="C11" s="308"/>
      <c r="D11" s="308"/>
      <c r="E11" s="311"/>
      <c r="F11" s="314"/>
      <c r="G11" s="308"/>
      <c r="H11" s="317"/>
      <c r="I11" s="320"/>
      <c r="J11" s="308"/>
      <c r="K11" s="308"/>
      <c r="L11" s="308"/>
      <c r="M11" s="308"/>
      <c r="N11" s="241">
        <v>45747</v>
      </c>
      <c r="O11" s="314"/>
      <c r="P11" s="236">
        <v>390</v>
      </c>
      <c r="Q11" s="237">
        <v>45757</v>
      </c>
      <c r="R11" s="238"/>
      <c r="S11" s="236"/>
      <c r="T11" s="236"/>
      <c r="U11" s="317"/>
      <c r="V11" s="324"/>
      <c r="W11" s="305"/>
      <c r="X11" s="228">
        <v>23</v>
      </c>
    </row>
    <row r="12" spans="1:24" s="105" customFormat="1" ht="144" x14ac:dyDescent="0.3">
      <c r="A12" s="139">
        <v>2</v>
      </c>
      <c r="B12" s="140" t="s">
        <v>56</v>
      </c>
      <c r="C12" s="140" t="s">
        <v>146</v>
      </c>
      <c r="D12" s="140" t="s">
        <v>147</v>
      </c>
      <c r="E12" s="165" t="s">
        <v>215</v>
      </c>
      <c r="F12" s="167">
        <v>45702</v>
      </c>
      <c r="G12" s="153" t="s">
        <v>216</v>
      </c>
      <c r="H12" s="141">
        <v>28904.9</v>
      </c>
      <c r="I12" s="142">
        <f>IF(X12 = 35, H12 + SUM(S12:S12) - SUM(T12:T12) - SUM(P12:P12) - V12,0)</f>
        <v>0</v>
      </c>
      <c r="J12" s="140" t="s">
        <v>217</v>
      </c>
      <c r="K12" s="153" t="s">
        <v>218</v>
      </c>
      <c r="L12" s="140" t="s">
        <v>146</v>
      </c>
      <c r="M12" s="140"/>
      <c r="N12" s="167">
        <v>45720</v>
      </c>
      <c r="O12" s="167" t="s">
        <v>183</v>
      </c>
      <c r="P12" s="141">
        <v>28904.9</v>
      </c>
      <c r="Q12" s="143">
        <v>45733</v>
      </c>
      <c r="R12" s="140"/>
      <c r="S12" s="141"/>
      <c r="T12" s="141"/>
      <c r="U12" s="141"/>
      <c r="V12" s="166"/>
      <c r="W12" s="162"/>
      <c r="X12" s="105">
        <v>35</v>
      </c>
    </row>
    <row r="13" spans="1:24" s="105" customFormat="1" ht="144" x14ac:dyDescent="0.3">
      <c r="A13" s="139">
        <v>3</v>
      </c>
      <c r="B13" s="140" t="s">
        <v>56</v>
      </c>
      <c r="C13" s="140" t="s">
        <v>146</v>
      </c>
      <c r="D13" s="140" t="s">
        <v>147</v>
      </c>
      <c r="E13" s="165">
        <v>9</v>
      </c>
      <c r="F13" s="167">
        <v>45713</v>
      </c>
      <c r="G13" s="140" t="s">
        <v>226</v>
      </c>
      <c r="H13" s="141">
        <v>22668</v>
      </c>
      <c r="I13" s="142">
        <f>IF(X13 = 37, H13 + SUM(S13:S13) - SUM(T13:T13) - SUM(P13:P13) - V13,0)</f>
        <v>0</v>
      </c>
      <c r="J13" s="140" t="s">
        <v>227</v>
      </c>
      <c r="K13" s="140" t="s">
        <v>228</v>
      </c>
      <c r="L13" s="140" t="s">
        <v>146</v>
      </c>
      <c r="M13" s="140"/>
      <c r="N13" s="167">
        <v>45713</v>
      </c>
      <c r="O13" s="167" t="s">
        <v>183</v>
      </c>
      <c r="P13" s="141">
        <v>22668</v>
      </c>
      <c r="Q13" s="143">
        <v>45715</v>
      </c>
      <c r="R13" s="140"/>
      <c r="S13" s="141"/>
      <c r="T13" s="141"/>
      <c r="U13" s="141"/>
      <c r="V13" s="166"/>
      <c r="W13" s="162"/>
      <c r="X13" s="105">
        <v>37</v>
      </c>
    </row>
    <row r="14" spans="1:24" s="105" customFormat="1" ht="144" x14ac:dyDescent="0.3">
      <c r="A14" s="179">
        <v>4</v>
      </c>
      <c r="B14" s="180" t="s">
        <v>56</v>
      </c>
      <c r="C14" s="180" t="s">
        <v>146</v>
      </c>
      <c r="D14" s="180" t="s">
        <v>147</v>
      </c>
      <c r="E14" s="198">
        <v>10</v>
      </c>
      <c r="F14" s="188">
        <v>45708</v>
      </c>
      <c r="G14" s="180" t="s">
        <v>232</v>
      </c>
      <c r="H14" s="183">
        <v>66750</v>
      </c>
      <c r="I14" s="184">
        <f>IF(X14 = 40, H14 + SUM(S14:S14) - SUM(T14:T14) - SUM(P14:P14) - V14,0)</f>
        <v>0</v>
      </c>
      <c r="J14" s="180" t="s">
        <v>233</v>
      </c>
      <c r="K14" s="180" t="s">
        <v>210</v>
      </c>
      <c r="L14" s="180" t="s">
        <v>146</v>
      </c>
      <c r="M14" s="180"/>
      <c r="N14" s="188">
        <v>45713</v>
      </c>
      <c r="O14" s="188" t="s">
        <v>183</v>
      </c>
      <c r="P14" s="183">
        <v>66750</v>
      </c>
      <c r="Q14" s="182">
        <v>45715</v>
      </c>
      <c r="R14" s="180"/>
      <c r="S14" s="183"/>
      <c r="T14" s="183"/>
      <c r="U14" s="183"/>
      <c r="V14" s="199"/>
      <c r="W14" s="177"/>
      <c r="X14" s="105">
        <v>40</v>
      </c>
    </row>
    <row r="15" spans="1:24" s="105" customFormat="1" ht="144" customHeight="1" x14ac:dyDescent="0.3">
      <c r="A15" s="321">
        <v>5</v>
      </c>
      <c r="B15" s="306" t="s">
        <v>56</v>
      </c>
      <c r="C15" s="306" t="s">
        <v>146</v>
      </c>
      <c r="D15" s="306" t="s">
        <v>147</v>
      </c>
      <c r="E15" s="309">
        <v>166</v>
      </c>
      <c r="F15" s="312">
        <v>45734</v>
      </c>
      <c r="G15" s="306" t="s">
        <v>239</v>
      </c>
      <c r="H15" s="315">
        <v>15632.75</v>
      </c>
      <c r="I15" s="318">
        <f>IF(X15 = 41, H15 + SUM(S15:S18) - SUM(T15:T18) - SUM(P15:P18) - V15,0)</f>
        <v>11664.17</v>
      </c>
      <c r="J15" s="306" t="s">
        <v>240</v>
      </c>
      <c r="K15" s="306" t="s">
        <v>241</v>
      </c>
      <c r="L15" s="306" t="s">
        <v>146</v>
      </c>
      <c r="M15" s="306"/>
      <c r="N15" s="239">
        <v>45742</v>
      </c>
      <c r="O15" s="312" t="s">
        <v>183</v>
      </c>
      <c r="P15" s="230">
        <v>1317.73</v>
      </c>
      <c r="Q15" s="231">
        <v>45742</v>
      </c>
      <c r="R15" s="232"/>
      <c r="S15" s="230"/>
      <c r="T15" s="230"/>
      <c r="U15" s="315"/>
      <c r="V15" s="323"/>
      <c r="W15" s="303"/>
      <c r="X15" s="105">
        <v>41</v>
      </c>
    </row>
    <row r="16" spans="1:24" s="178" customFormat="1" x14ac:dyDescent="0.3">
      <c r="A16" s="326"/>
      <c r="B16" s="307"/>
      <c r="C16" s="307"/>
      <c r="D16" s="307"/>
      <c r="E16" s="310"/>
      <c r="F16" s="313"/>
      <c r="G16" s="307"/>
      <c r="H16" s="316"/>
      <c r="I16" s="319"/>
      <c r="J16" s="307"/>
      <c r="K16" s="307"/>
      <c r="L16" s="307"/>
      <c r="M16" s="307"/>
      <c r="N16" s="240">
        <v>45742</v>
      </c>
      <c r="O16" s="313"/>
      <c r="P16" s="233">
        <v>337.44</v>
      </c>
      <c r="Q16" s="234">
        <v>45742</v>
      </c>
      <c r="R16" s="235"/>
      <c r="S16" s="233"/>
      <c r="T16" s="233"/>
      <c r="U16" s="316"/>
      <c r="V16" s="325"/>
      <c r="W16" s="304"/>
      <c r="X16" s="178">
        <v>41</v>
      </c>
    </row>
    <row r="17" spans="1:24" s="178" customFormat="1" x14ac:dyDescent="0.3">
      <c r="A17" s="326"/>
      <c r="B17" s="307"/>
      <c r="C17" s="307"/>
      <c r="D17" s="307"/>
      <c r="E17" s="310"/>
      <c r="F17" s="313"/>
      <c r="G17" s="307"/>
      <c r="H17" s="316"/>
      <c r="I17" s="319"/>
      <c r="J17" s="307"/>
      <c r="K17" s="307"/>
      <c r="L17" s="307"/>
      <c r="M17" s="307"/>
      <c r="N17" s="243">
        <v>45742</v>
      </c>
      <c r="O17" s="313"/>
      <c r="P17" s="233">
        <v>1136.08</v>
      </c>
      <c r="Q17" s="242">
        <v>45742</v>
      </c>
      <c r="R17" s="235"/>
      <c r="S17" s="233"/>
      <c r="T17" s="233"/>
      <c r="U17" s="316"/>
      <c r="V17" s="325"/>
      <c r="W17" s="304"/>
      <c r="X17" s="178">
        <v>41</v>
      </c>
    </row>
    <row r="18" spans="1:24" s="228" customFormat="1" x14ac:dyDescent="0.3">
      <c r="A18" s="322"/>
      <c r="B18" s="308"/>
      <c r="C18" s="308"/>
      <c r="D18" s="308"/>
      <c r="E18" s="311"/>
      <c r="F18" s="314"/>
      <c r="G18" s="308"/>
      <c r="H18" s="317"/>
      <c r="I18" s="320"/>
      <c r="J18" s="308"/>
      <c r="K18" s="308"/>
      <c r="L18" s="308"/>
      <c r="M18" s="308"/>
      <c r="N18" s="241">
        <v>45747</v>
      </c>
      <c r="O18" s="314"/>
      <c r="P18" s="236">
        <v>1177.33</v>
      </c>
      <c r="Q18" s="237">
        <v>45756</v>
      </c>
      <c r="R18" s="238"/>
      <c r="S18" s="236"/>
      <c r="T18" s="236"/>
      <c r="U18" s="317"/>
      <c r="V18" s="324"/>
      <c r="W18" s="305"/>
      <c r="X18" s="228">
        <v>41</v>
      </c>
    </row>
    <row r="19" spans="1:24" s="105" customFormat="1" ht="144" x14ac:dyDescent="0.3">
      <c r="A19" s="179">
        <v>6</v>
      </c>
      <c r="B19" s="180" t="s">
        <v>56</v>
      </c>
      <c r="C19" s="180" t="s">
        <v>146</v>
      </c>
      <c r="D19" s="180" t="s">
        <v>147</v>
      </c>
      <c r="E19" s="181">
        <v>45735</v>
      </c>
      <c r="F19" s="188">
        <v>45735</v>
      </c>
      <c r="G19" s="180" t="s">
        <v>242</v>
      </c>
      <c r="H19" s="183">
        <v>10935</v>
      </c>
      <c r="I19" s="184">
        <f>IF(X19 = 42, H19 + SUM(S19:S19) - SUM(T19:T19) - SUM(P19:P19) - V19,0)</f>
        <v>0</v>
      </c>
      <c r="J19" s="180" t="s">
        <v>243</v>
      </c>
      <c r="K19" s="180" t="s">
        <v>244</v>
      </c>
      <c r="L19" s="180" t="s">
        <v>146</v>
      </c>
      <c r="M19" s="180"/>
      <c r="N19" s="188">
        <v>45736</v>
      </c>
      <c r="O19" s="188" t="s">
        <v>183</v>
      </c>
      <c r="P19" s="183">
        <v>10935</v>
      </c>
      <c r="Q19" s="182">
        <v>45736</v>
      </c>
      <c r="R19" s="180"/>
      <c r="S19" s="183"/>
      <c r="T19" s="183"/>
      <c r="U19" s="183"/>
      <c r="V19" s="199"/>
      <c r="W19" s="177"/>
      <c r="X19" s="105">
        <v>42</v>
      </c>
    </row>
    <row r="20" spans="1:24" s="105" customFormat="1" ht="144" x14ac:dyDescent="0.3">
      <c r="A20" s="214">
        <v>7</v>
      </c>
      <c r="B20" s="222" t="s">
        <v>56</v>
      </c>
      <c r="C20" s="222" t="s">
        <v>146</v>
      </c>
      <c r="D20" s="222" t="s">
        <v>147</v>
      </c>
      <c r="E20" s="221" t="s">
        <v>251</v>
      </c>
      <c r="F20" s="227">
        <v>45744</v>
      </c>
      <c r="G20" s="222" t="s">
        <v>252</v>
      </c>
      <c r="H20" s="216">
        <v>8000</v>
      </c>
      <c r="I20" s="217">
        <f>IF(X20 = 43, H20 + SUM(S20:S20) - SUM(T20:T20) - SUM(P20:P20) - V20,0)</f>
        <v>8000</v>
      </c>
      <c r="J20" s="222" t="s">
        <v>253</v>
      </c>
      <c r="K20" s="222" t="s">
        <v>231</v>
      </c>
      <c r="L20" s="222" t="s">
        <v>146</v>
      </c>
      <c r="M20" s="222"/>
      <c r="N20" s="227"/>
      <c r="O20" s="227" t="s">
        <v>183</v>
      </c>
      <c r="P20" s="216"/>
      <c r="Q20" s="215"/>
      <c r="R20" s="222"/>
      <c r="S20" s="216"/>
      <c r="T20" s="216"/>
      <c r="U20" s="216"/>
      <c r="V20" s="226"/>
      <c r="W20" s="223"/>
      <c r="X20" s="105">
        <v>43</v>
      </c>
    </row>
    <row r="21" spans="1:24" s="105" customFormat="1" ht="144" x14ac:dyDescent="0.3">
      <c r="A21" s="214">
        <v>8</v>
      </c>
      <c r="B21" s="222" t="s">
        <v>56</v>
      </c>
      <c r="C21" s="222" t="s">
        <v>146</v>
      </c>
      <c r="D21" s="222" t="s">
        <v>147</v>
      </c>
      <c r="E21" s="221" t="s">
        <v>254</v>
      </c>
      <c r="F21" s="227">
        <v>45749</v>
      </c>
      <c r="G21" s="222" t="s">
        <v>255</v>
      </c>
      <c r="H21" s="216">
        <v>8800</v>
      </c>
      <c r="I21" s="217">
        <f>IF(X21 = 44, H21 + SUM(S21:S21) - SUM(T21:T21) - SUM(P21:P21) - V21,0)</f>
        <v>0</v>
      </c>
      <c r="J21" s="222" t="s">
        <v>256</v>
      </c>
      <c r="K21" s="222" t="s">
        <v>257</v>
      </c>
      <c r="L21" s="222" t="s">
        <v>146</v>
      </c>
      <c r="M21" s="222"/>
      <c r="N21" s="227">
        <v>45749</v>
      </c>
      <c r="O21" s="227" t="s">
        <v>183</v>
      </c>
      <c r="P21" s="216">
        <v>8800</v>
      </c>
      <c r="Q21" s="215">
        <v>45750</v>
      </c>
      <c r="R21" s="222"/>
      <c r="S21" s="216"/>
      <c r="T21" s="216"/>
      <c r="U21" s="216"/>
      <c r="V21" s="226"/>
      <c r="W21" s="223"/>
      <c r="X21" s="105">
        <v>44</v>
      </c>
    </row>
    <row r="22" spans="1:24" s="105" customFormat="1" ht="144" customHeight="1" x14ac:dyDescent="0.3">
      <c r="A22" s="321">
        <v>9</v>
      </c>
      <c r="B22" s="306" t="s">
        <v>56</v>
      </c>
      <c r="C22" s="306" t="s">
        <v>146</v>
      </c>
      <c r="D22" s="306" t="s">
        <v>147</v>
      </c>
      <c r="E22" s="312" t="s">
        <v>261</v>
      </c>
      <c r="F22" s="312">
        <v>45755</v>
      </c>
      <c r="G22" s="306" t="s">
        <v>262</v>
      </c>
      <c r="H22" s="315">
        <v>5500</v>
      </c>
      <c r="I22" s="318">
        <f>IF(X22 = 45, H22 + SUM(S22:S23) - SUM(T22:T23) - SUM(P22:P23) - V22,0)</f>
        <v>0</v>
      </c>
      <c r="J22" s="306" t="s">
        <v>263</v>
      </c>
      <c r="K22" s="306" t="s">
        <v>264</v>
      </c>
      <c r="L22" s="306" t="s">
        <v>146</v>
      </c>
      <c r="M22" s="306"/>
      <c r="N22" s="239"/>
      <c r="O22" s="312" t="s">
        <v>183</v>
      </c>
      <c r="P22" s="230">
        <v>1650</v>
      </c>
      <c r="Q22" s="231">
        <v>45757</v>
      </c>
      <c r="R22" s="232"/>
      <c r="S22" s="230"/>
      <c r="T22" s="230"/>
      <c r="U22" s="315"/>
      <c r="V22" s="323"/>
      <c r="W22" s="303"/>
      <c r="X22" s="105">
        <v>45</v>
      </c>
    </row>
    <row r="23" spans="1:24" s="228" customFormat="1" x14ac:dyDescent="0.3">
      <c r="A23" s="322"/>
      <c r="B23" s="308"/>
      <c r="C23" s="308"/>
      <c r="D23" s="308"/>
      <c r="E23" s="314"/>
      <c r="F23" s="314"/>
      <c r="G23" s="308"/>
      <c r="H23" s="317"/>
      <c r="I23" s="320"/>
      <c r="J23" s="308"/>
      <c r="K23" s="308"/>
      <c r="L23" s="308"/>
      <c r="M23" s="308"/>
      <c r="N23" s="241">
        <v>45758</v>
      </c>
      <c r="O23" s="314"/>
      <c r="P23" s="236">
        <v>3850</v>
      </c>
      <c r="Q23" s="237">
        <v>45761</v>
      </c>
      <c r="R23" s="238"/>
      <c r="S23" s="236"/>
      <c r="T23" s="236"/>
      <c r="U23" s="317"/>
      <c r="V23" s="324"/>
      <c r="W23" s="305"/>
      <c r="X23" s="228">
        <v>45</v>
      </c>
    </row>
    <row r="24" spans="1:24" s="105" customFormat="1" ht="144" x14ac:dyDescent="0.3">
      <c r="A24" s="214">
        <v>10</v>
      </c>
      <c r="B24" s="222" t="s">
        <v>56</v>
      </c>
      <c r="C24" s="222" t="s">
        <v>146</v>
      </c>
      <c r="D24" s="222" t="s">
        <v>147</v>
      </c>
      <c r="E24" s="222">
        <v>22</v>
      </c>
      <c r="F24" s="227">
        <v>45754</v>
      </c>
      <c r="G24" s="222" t="s">
        <v>268</v>
      </c>
      <c r="H24" s="216">
        <v>13473.82</v>
      </c>
      <c r="I24" s="217">
        <f>IF(X24 = 46, H24 + SUM(S24:S24) - SUM(T24:T24) - SUM(P24:P24) - V24,0)</f>
        <v>0</v>
      </c>
      <c r="J24" s="222" t="s">
        <v>267</v>
      </c>
      <c r="K24" s="222" t="s">
        <v>266</v>
      </c>
      <c r="L24" s="222" t="s">
        <v>146</v>
      </c>
      <c r="M24" s="222"/>
      <c r="N24" s="227">
        <v>45756</v>
      </c>
      <c r="O24" s="227" t="s">
        <v>265</v>
      </c>
      <c r="P24" s="216">
        <v>13473.82</v>
      </c>
      <c r="Q24" s="215">
        <v>45757</v>
      </c>
      <c r="R24" s="222"/>
      <c r="S24" s="216"/>
      <c r="T24" s="216"/>
      <c r="U24" s="216"/>
      <c r="V24" s="226"/>
      <c r="W24" s="223"/>
      <c r="X24" s="105">
        <v>46</v>
      </c>
    </row>
    <row r="25" spans="1:24" s="105" customFormat="1" ht="144" x14ac:dyDescent="0.3">
      <c r="A25" s="214">
        <v>11</v>
      </c>
      <c r="B25" s="222" t="s">
        <v>56</v>
      </c>
      <c r="C25" s="222" t="s">
        <v>146</v>
      </c>
      <c r="D25" s="222" t="s">
        <v>147</v>
      </c>
      <c r="E25" s="222" t="s">
        <v>131</v>
      </c>
      <c r="F25" s="227">
        <v>45756</v>
      </c>
      <c r="G25" s="222" t="s">
        <v>269</v>
      </c>
      <c r="H25" s="216">
        <v>9970</v>
      </c>
      <c r="I25" s="217">
        <f>IF(X25 = 47, H25 + SUM(S25:S25) - SUM(T25:T25) - SUM(P25:P25) - V25,0)</f>
        <v>0</v>
      </c>
      <c r="J25" s="222" t="s">
        <v>270</v>
      </c>
      <c r="K25" s="222" t="s">
        <v>271</v>
      </c>
      <c r="L25" s="222" t="s">
        <v>146</v>
      </c>
      <c r="M25" s="222"/>
      <c r="N25" s="227">
        <v>45756</v>
      </c>
      <c r="O25" s="227" t="s">
        <v>183</v>
      </c>
      <c r="P25" s="216">
        <v>9970</v>
      </c>
      <c r="Q25" s="215">
        <v>45757</v>
      </c>
      <c r="R25" s="222"/>
      <c r="S25" s="216"/>
      <c r="T25" s="216"/>
      <c r="U25" s="216"/>
      <c r="V25" s="226"/>
      <c r="W25" s="223"/>
      <c r="X25" s="105">
        <v>47</v>
      </c>
    </row>
    <row r="26" spans="1:24" s="105" customFormat="1" ht="144" x14ac:dyDescent="0.3">
      <c r="A26" s="214">
        <v>12</v>
      </c>
      <c r="B26" s="224" t="s">
        <v>56</v>
      </c>
      <c r="C26" s="224" t="s">
        <v>146</v>
      </c>
      <c r="D26" s="224" t="s">
        <v>147</v>
      </c>
      <c r="E26" s="224" t="s">
        <v>272</v>
      </c>
      <c r="F26" s="229">
        <v>45762</v>
      </c>
      <c r="G26" s="224" t="s">
        <v>273</v>
      </c>
      <c r="H26" s="216">
        <v>4200</v>
      </c>
      <c r="I26" s="217">
        <f>IF(X26 = 48, H26 + SUM(S26:S26) - SUM(T26:T26) - SUM(P26:P26) - V26,0)</f>
        <v>0</v>
      </c>
      <c r="J26" s="224" t="s">
        <v>274</v>
      </c>
      <c r="K26" s="224" t="s">
        <v>159</v>
      </c>
      <c r="L26" s="224" t="s">
        <v>146</v>
      </c>
      <c r="M26" s="224"/>
      <c r="N26" s="229">
        <v>45762</v>
      </c>
      <c r="O26" s="229" t="s">
        <v>183</v>
      </c>
      <c r="P26" s="216">
        <v>4200</v>
      </c>
      <c r="Q26" s="215">
        <v>45771</v>
      </c>
      <c r="R26" s="224"/>
      <c r="S26" s="216"/>
      <c r="T26" s="216"/>
      <c r="U26" s="216"/>
      <c r="V26" s="226"/>
      <c r="W26" s="225"/>
      <c r="X26" s="105">
        <v>48</v>
      </c>
    </row>
    <row r="27" spans="1:24" x14ac:dyDescent="0.3">
      <c r="A27" s="151"/>
      <c r="B27" s="152"/>
      <c r="C27" s="153"/>
      <c r="D27" s="153"/>
      <c r="E27" s="189"/>
      <c r="F27" s="168"/>
      <c r="G27" s="153"/>
      <c r="H27" s="157"/>
      <c r="I27" s="158">
        <f>IF(X27 = 35, H27 + SUM(S27:S27) - SUM(T27:T27) - SUM(P27:P27) - V27,0)</f>
        <v>0</v>
      </c>
      <c r="J27" s="153"/>
      <c r="K27" s="153"/>
      <c r="L27" s="153"/>
      <c r="M27" s="153"/>
      <c r="N27" s="168"/>
      <c r="O27" s="168"/>
      <c r="P27" s="157"/>
      <c r="Q27" s="154"/>
      <c r="R27" s="156"/>
      <c r="S27" s="157"/>
      <c r="T27" s="157"/>
      <c r="U27" s="157"/>
      <c r="V27" s="155"/>
      <c r="W27" s="156"/>
      <c r="X27" s="8">
        <v>49</v>
      </c>
    </row>
    <row r="28" spans="1:24" s="2" customFormat="1" x14ac:dyDescent="0.3">
      <c r="A28" s="41"/>
      <c r="B28" s="107"/>
      <c r="C28" s="41"/>
      <c r="D28" s="41"/>
      <c r="E28" s="42"/>
      <c r="F28" s="41"/>
      <c r="G28" s="41"/>
      <c r="H28" s="44"/>
      <c r="I28" s="44"/>
      <c r="J28" s="41"/>
      <c r="K28" s="41"/>
      <c r="L28" s="41"/>
      <c r="M28" s="41"/>
      <c r="N28" s="42"/>
      <c r="O28" s="41"/>
      <c r="P28" s="40"/>
      <c r="Q28" s="42"/>
      <c r="U28" s="42"/>
      <c r="V28" s="40"/>
    </row>
    <row r="29" spans="1:24" s="2" customFormat="1" x14ac:dyDescent="0.3">
      <c r="A29" s="41"/>
      <c r="B29" s="107"/>
      <c r="C29" s="41"/>
      <c r="D29" s="41"/>
      <c r="E29" s="42"/>
      <c r="F29" s="41"/>
      <c r="G29" s="41"/>
      <c r="H29" s="44"/>
      <c r="I29" s="44"/>
      <c r="J29" s="41"/>
      <c r="K29" s="41"/>
      <c r="L29" s="41"/>
      <c r="M29" s="41"/>
      <c r="N29" s="42"/>
      <c r="O29" s="41"/>
      <c r="P29" s="40"/>
      <c r="Q29" s="42"/>
      <c r="U29" s="42"/>
      <c r="V29" s="40"/>
    </row>
    <row r="30" spans="1:24" s="2" customFormat="1" x14ac:dyDescent="0.3">
      <c r="A30" s="41"/>
      <c r="B30" s="107"/>
      <c r="C30" s="41"/>
      <c r="D30" s="41"/>
      <c r="E30" s="42"/>
      <c r="F30" s="41"/>
      <c r="G30" s="41"/>
      <c r="H30" s="44"/>
      <c r="I30" s="44"/>
      <c r="J30" s="41"/>
      <c r="K30" s="41"/>
      <c r="L30" s="41"/>
      <c r="M30" s="41"/>
      <c r="N30" s="42"/>
      <c r="O30" s="41"/>
      <c r="P30" s="40"/>
      <c r="Q30" s="42"/>
      <c r="U30" s="42"/>
      <c r="V30" s="40"/>
    </row>
    <row r="31" spans="1:24" s="2" customFormat="1" x14ac:dyDescent="0.3">
      <c r="A31" s="41"/>
      <c r="B31" s="107"/>
      <c r="C31" s="41"/>
      <c r="D31" s="41"/>
      <c r="E31" s="42"/>
      <c r="F31" s="41"/>
      <c r="G31" s="41"/>
      <c r="H31" s="44"/>
      <c r="I31" s="44"/>
      <c r="J31" s="41"/>
      <c r="K31" s="41"/>
      <c r="L31" s="41"/>
      <c r="M31" s="41"/>
      <c r="N31" s="42"/>
      <c r="O31" s="41"/>
      <c r="P31" s="40"/>
      <c r="Q31" s="42"/>
      <c r="U31" s="42"/>
      <c r="V31" s="40"/>
    </row>
    <row r="32" spans="1:24" s="2" customFormat="1" x14ac:dyDescent="0.3">
      <c r="A32" s="41"/>
      <c r="B32" s="107"/>
      <c r="C32" s="41"/>
      <c r="D32" s="41"/>
      <c r="E32" s="42"/>
      <c r="F32" s="41"/>
      <c r="G32" s="41"/>
      <c r="H32" s="44"/>
      <c r="I32" s="44"/>
      <c r="J32" s="41"/>
      <c r="K32" s="41"/>
      <c r="L32" s="41"/>
      <c r="M32" s="41"/>
      <c r="N32" s="42"/>
      <c r="O32" s="41"/>
      <c r="P32" s="40"/>
      <c r="Q32" s="42"/>
      <c r="U32" s="42"/>
      <c r="V32" s="40"/>
    </row>
  </sheetData>
  <sheetProtection password="EB34" sheet="1" objects="1" scenarios="1" formatCells="0" formatColumns="0" formatRows="0"/>
  <mergeCells count="58">
    <mergeCell ref="A3:E3"/>
    <mergeCell ref="S2:U2"/>
    <mergeCell ref="N2:O2"/>
    <mergeCell ref="J4:K4"/>
    <mergeCell ref="M4:N4"/>
    <mergeCell ref="O4:P4"/>
    <mergeCell ref="K2:M2"/>
    <mergeCell ref="A15:A18"/>
    <mergeCell ref="A9:A11"/>
    <mergeCell ref="O9:O11"/>
    <mergeCell ref="U9:U11"/>
    <mergeCell ref="B9:B11"/>
    <mergeCell ref="C9:C11"/>
    <mergeCell ref="U15:U18"/>
    <mergeCell ref="B15:B18"/>
    <mergeCell ref="V15:V18"/>
    <mergeCell ref="C15:C18"/>
    <mergeCell ref="W15:W18"/>
    <mergeCell ref="D15:D18"/>
    <mergeCell ref="E15:E18"/>
    <mergeCell ref="F15:F18"/>
    <mergeCell ref="G15:G18"/>
    <mergeCell ref="H15:H18"/>
    <mergeCell ref="I15:I18"/>
    <mergeCell ref="J15:J18"/>
    <mergeCell ref="K15:K18"/>
    <mergeCell ref="L15:L18"/>
    <mergeCell ref="M15:M18"/>
    <mergeCell ref="O15:O18"/>
    <mergeCell ref="A22:A23"/>
    <mergeCell ref="O22:O23"/>
    <mergeCell ref="U22:U23"/>
    <mergeCell ref="B22:B23"/>
    <mergeCell ref="V22:V23"/>
    <mergeCell ref="C22:C23"/>
    <mergeCell ref="W22:W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W9:W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V9:V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04"/>
  <sheetViews>
    <sheetView showGridLines="0" tabSelected="1" topLeftCell="G1" zoomScale="60" zoomScaleNormal="60" workbookViewId="0">
      <pane ySplit="8" topLeftCell="A9" activePane="bottomLeft" state="frozen"/>
      <selection pane="bottomLeft" activeCell="I9" sqref="I9:I11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422" t="s">
        <v>24</v>
      </c>
      <c r="G2" s="423"/>
      <c r="H2" s="98">
        <f>SUM(H9:H10002)</f>
        <v>2762392.09</v>
      </c>
      <c r="I2" s="86"/>
      <c r="J2" s="39"/>
      <c r="N2" s="328" t="s">
        <v>137</v>
      </c>
      <c r="O2" s="330"/>
      <c r="P2" s="87">
        <f>SUM(P9:P10002)</f>
        <v>1255832.8099999998</v>
      </c>
      <c r="R2" s="86"/>
      <c r="S2" s="328" t="s">
        <v>45</v>
      </c>
      <c r="T2" s="329"/>
      <c r="U2" s="330"/>
      <c r="V2" s="88">
        <f>SUM(V9:V10002)</f>
        <v>0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76.95" customHeight="1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6" customFormat="1" ht="90" customHeight="1" x14ac:dyDescent="0.3">
      <c r="A9" s="321">
        <v>1</v>
      </c>
      <c r="B9" s="306" t="s">
        <v>56</v>
      </c>
      <c r="C9" s="306" t="s">
        <v>162</v>
      </c>
      <c r="D9" s="306" t="s">
        <v>147</v>
      </c>
      <c r="E9" s="306" t="s">
        <v>199</v>
      </c>
      <c r="F9" s="312">
        <v>45654</v>
      </c>
      <c r="G9" s="341" t="s">
        <v>163</v>
      </c>
      <c r="H9" s="315">
        <v>290000</v>
      </c>
      <c r="I9" s="318">
        <f>IF(X9 = 18, H9 + SUM(S9:S11) - SUM(T9:T11) - SUM(P9:P11) - V9,0)</f>
        <v>117434.09</v>
      </c>
      <c r="J9" s="332">
        <v>2310195709</v>
      </c>
      <c r="K9" s="335" t="s">
        <v>200</v>
      </c>
      <c r="L9" s="306" t="s">
        <v>146</v>
      </c>
      <c r="M9" s="306"/>
      <c r="N9" s="239">
        <v>45688</v>
      </c>
      <c r="O9" s="312" t="s">
        <v>183</v>
      </c>
      <c r="P9" s="230">
        <v>59560.23</v>
      </c>
      <c r="Q9" s="231">
        <v>45699</v>
      </c>
      <c r="R9" s="232"/>
      <c r="S9" s="230"/>
      <c r="T9" s="230"/>
      <c r="U9" s="315"/>
      <c r="V9" s="338"/>
      <c r="W9" s="303"/>
      <c r="X9" s="106">
        <v>18</v>
      </c>
    </row>
    <row r="10" spans="1:24" s="2" customFormat="1" x14ac:dyDescent="0.3">
      <c r="A10" s="326"/>
      <c r="B10" s="307"/>
      <c r="C10" s="307"/>
      <c r="D10" s="307"/>
      <c r="E10" s="307"/>
      <c r="F10" s="313"/>
      <c r="G10" s="342"/>
      <c r="H10" s="316"/>
      <c r="I10" s="319"/>
      <c r="J10" s="333"/>
      <c r="K10" s="336"/>
      <c r="L10" s="307"/>
      <c r="M10" s="307"/>
      <c r="N10" s="240">
        <v>45716</v>
      </c>
      <c r="O10" s="313"/>
      <c r="P10" s="233">
        <v>68605.929999999993</v>
      </c>
      <c r="Q10" s="234">
        <v>45727</v>
      </c>
      <c r="R10" s="235"/>
      <c r="S10" s="233"/>
      <c r="T10" s="233"/>
      <c r="U10" s="316"/>
      <c r="V10" s="339"/>
      <c r="W10" s="304"/>
      <c r="X10" s="2">
        <v>18</v>
      </c>
    </row>
    <row r="11" spans="1:24" s="2" customFormat="1" x14ac:dyDescent="0.3">
      <c r="A11" s="322"/>
      <c r="B11" s="308"/>
      <c r="C11" s="308"/>
      <c r="D11" s="308"/>
      <c r="E11" s="308"/>
      <c r="F11" s="314"/>
      <c r="G11" s="343"/>
      <c r="H11" s="317"/>
      <c r="I11" s="320"/>
      <c r="J11" s="334"/>
      <c r="K11" s="337"/>
      <c r="L11" s="308"/>
      <c r="M11" s="308"/>
      <c r="N11" s="241">
        <v>45747</v>
      </c>
      <c r="O11" s="314"/>
      <c r="P11" s="236">
        <v>44399.75</v>
      </c>
      <c r="Q11" s="237">
        <v>45755</v>
      </c>
      <c r="R11" s="238"/>
      <c r="S11" s="236"/>
      <c r="T11" s="236"/>
      <c r="U11" s="317"/>
      <c r="V11" s="340"/>
      <c r="W11" s="305"/>
      <c r="X11" s="2">
        <v>18</v>
      </c>
    </row>
    <row r="12" spans="1:24" s="106" customFormat="1" ht="36" customHeight="1" x14ac:dyDescent="0.3">
      <c r="A12" s="365">
        <v>2</v>
      </c>
      <c r="B12" s="344" t="s">
        <v>56</v>
      </c>
      <c r="C12" s="344" t="s">
        <v>146</v>
      </c>
      <c r="D12" s="344" t="s">
        <v>147</v>
      </c>
      <c r="E12" s="344" t="s">
        <v>113</v>
      </c>
      <c r="F12" s="347">
        <v>45655</v>
      </c>
      <c r="G12" s="350" t="s">
        <v>165</v>
      </c>
      <c r="H12" s="353">
        <v>44000</v>
      </c>
      <c r="I12" s="356">
        <f>IF(X12 = 19, H12 + SUM(S12:S15) - SUM(T12:T15) - SUM(P12:P15) - V12,0)</f>
        <v>36383.18</v>
      </c>
      <c r="J12" s="359">
        <v>2353246210</v>
      </c>
      <c r="K12" s="362" t="s">
        <v>150</v>
      </c>
      <c r="L12" s="344" t="s">
        <v>146</v>
      </c>
      <c r="M12" s="344"/>
      <c r="N12" s="209">
        <v>45674</v>
      </c>
      <c r="O12" s="347" t="s">
        <v>166</v>
      </c>
      <c r="P12" s="200">
        <v>1523.36</v>
      </c>
      <c r="Q12" s="201">
        <v>45688</v>
      </c>
      <c r="R12" s="202"/>
      <c r="S12" s="200"/>
      <c r="T12" s="200"/>
      <c r="U12" s="353"/>
      <c r="V12" s="368"/>
      <c r="W12" s="371"/>
      <c r="X12" s="106">
        <v>19</v>
      </c>
    </row>
    <row r="13" spans="1:24" s="2" customFormat="1" x14ac:dyDescent="0.3">
      <c r="A13" s="366"/>
      <c r="B13" s="345"/>
      <c r="C13" s="345"/>
      <c r="D13" s="345"/>
      <c r="E13" s="345"/>
      <c r="F13" s="348"/>
      <c r="G13" s="351"/>
      <c r="H13" s="354"/>
      <c r="I13" s="357"/>
      <c r="J13" s="360"/>
      <c r="K13" s="363"/>
      <c r="L13" s="345"/>
      <c r="M13" s="345"/>
      <c r="N13" s="210">
        <v>45707</v>
      </c>
      <c r="O13" s="348"/>
      <c r="P13" s="203">
        <v>2182.12</v>
      </c>
      <c r="Q13" s="204">
        <v>45716</v>
      </c>
      <c r="R13" s="205"/>
      <c r="S13" s="203"/>
      <c r="T13" s="203"/>
      <c r="U13" s="354"/>
      <c r="V13" s="369"/>
      <c r="W13" s="372"/>
      <c r="X13" s="2">
        <v>19</v>
      </c>
    </row>
    <row r="14" spans="1:24" s="2" customFormat="1" x14ac:dyDescent="0.3">
      <c r="A14" s="366"/>
      <c r="B14" s="345"/>
      <c r="C14" s="345"/>
      <c r="D14" s="345"/>
      <c r="E14" s="345"/>
      <c r="F14" s="348"/>
      <c r="G14" s="351"/>
      <c r="H14" s="354"/>
      <c r="I14" s="357"/>
      <c r="J14" s="360"/>
      <c r="K14" s="363"/>
      <c r="L14" s="345"/>
      <c r="M14" s="345"/>
      <c r="N14" s="210">
        <v>45733</v>
      </c>
      <c r="O14" s="348"/>
      <c r="P14" s="203">
        <v>1646.88</v>
      </c>
      <c r="Q14" s="204">
        <v>45735</v>
      </c>
      <c r="R14" s="205"/>
      <c r="S14" s="203"/>
      <c r="T14" s="203"/>
      <c r="U14" s="354"/>
      <c r="V14" s="369"/>
      <c r="W14" s="372"/>
      <c r="X14" s="2">
        <v>19</v>
      </c>
    </row>
    <row r="15" spans="1:24" s="2" customFormat="1" x14ac:dyDescent="0.3">
      <c r="A15" s="367"/>
      <c r="B15" s="346"/>
      <c r="C15" s="346"/>
      <c r="D15" s="346"/>
      <c r="E15" s="346"/>
      <c r="F15" s="349"/>
      <c r="G15" s="352"/>
      <c r="H15" s="355"/>
      <c r="I15" s="358"/>
      <c r="J15" s="361"/>
      <c r="K15" s="364"/>
      <c r="L15" s="346"/>
      <c r="M15" s="346"/>
      <c r="N15" s="211">
        <v>45763</v>
      </c>
      <c r="O15" s="349"/>
      <c r="P15" s="206">
        <v>2264.46</v>
      </c>
      <c r="Q15" s="207">
        <v>45777</v>
      </c>
      <c r="R15" s="208"/>
      <c r="S15" s="206"/>
      <c r="T15" s="206"/>
      <c r="U15" s="355"/>
      <c r="V15" s="370"/>
      <c r="W15" s="373"/>
      <c r="X15" s="2">
        <v>19</v>
      </c>
    </row>
    <row r="16" spans="1:24" s="106" customFormat="1" ht="37.5" customHeight="1" x14ac:dyDescent="0.3">
      <c r="A16" s="321">
        <v>3</v>
      </c>
      <c r="B16" s="306" t="s">
        <v>56</v>
      </c>
      <c r="C16" s="306" t="s">
        <v>146</v>
      </c>
      <c r="D16" s="306" t="s">
        <v>170</v>
      </c>
      <c r="E16" s="306" t="s">
        <v>171</v>
      </c>
      <c r="F16" s="312">
        <v>45654</v>
      </c>
      <c r="G16" s="341" t="s">
        <v>167</v>
      </c>
      <c r="H16" s="315">
        <v>370000</v>
      </c>
      <c r="I16" s="318">
        <f>IF(X16 = 20, H16 + SUM(S16:S25) - SUM(T16:T25) - SUM(P16:P25) - V16,0)</f>
        <v>150746.68</v>
      </c>
      <c r="J16" s="332">
        <v>2308119595</v>
      </c>
      <c r="K16" s="335" t="s">
        <v>149</v>
      </c>
      <c r="L16" s="306" t="s">
        <v>146</v>
      </c>
      <c r="M16" s="306"/>
      <c r="N16" s="239">
        <v>45658</v>
      </c>
      <c r="O16" s="312" t="s">
        <v>168</v>
      </c>
      <c r="P16" s="230">
        <v>25009.94</v>
      </c>
      <c r="Q16" s="231">
        <v>45685</v>
      </c>
      <c r="R16" s="232"/>
      <c r="S16" s="230"/>
      <c r="T16" s="230"/>
      <c r="U16" s="315"/>
      <c r="V16" s="338"/>
      <c r="W16" s="303"/>
      <c r="X16" s="106">
        <v>20</v>
      </c>
    </row>
    <row r="17" spans="1:24" s="2" customFormat="1" x14ac:dyDescent="0.3">
      <c r="A17" s="326"/>
      <c r="B17" s="307"/>
      <c r="C17" s="307"/>
      <c r="D17" s="307"/>
      <c r="E17" s="307"/>
      <c r="F17" s="313"/>
      <c r="G17" s="342"/>
      <c r="H17" s="316"/>
      <c r="I17" s="319"/>
      <c r="J17" s="333"/>
      <c r="K17" s="336"/>
      <c r="L17" s="307"/>
      <c r="M17" s="307"/>
      <c r="N17" s="240">
        <v>45689</v>
      </c>
      <c r="O17" s="313"/>
      <c r="P17" s="233">
        <v>18751.080000000002</v>
      </c>
      <c r="Q17" s="234">
        <v>45692</v>
      </c>
      <c r="R17" s="235"/>
      <c r="S17" s="233"/>
      <c r="T17" s="233"/>
      <c r="U17" s="316"/>
      <c r="V17" s="339"/>
      <c r="W17" s="304"/>
      <c r="X17" s="2">
        <v>20</v>
      </c>
    </row>
    <row r="18" spans="1:24" s="2" customFormat="1" x14ac:dyDescent="0.3">
      <c r="A18" s="326"/>
      <c r="B18" s="307"/>
      <c r="C18" s="307"/>
      <c r="D18" s="307"/>
      <c r="E18" s="307"/>
      <c r="F18" s="313"/>
      <c r="G18" s="342"/>
      <c r="H18" s="316"/>
      <c r="I18" s="319"/>
      <c r="J18" s="333"/>
      <c r="K18" s="336"/>
      <c r="L18" s="307"/>
      <c r="M18" s="307"/>
      <c r="N18" s="240">
        <v>45688</v>
      </c>
      <c r="O18" s="313"/>
      <c r="P18" s="233">
        <v>40907.68</v>
      </c>
      <c r="Q18" s="234">
        <v>45705</v>
      </c>
      <c r="R18" s="235"/>
      <c r="S18" s="233"/>
      <c r="T18" s="233"/>
      <c r="U18" s="316"/>
      <c r="V18" s="339"/>
      <c r="W18" s="304"/>
      <c r="X18" s="2">
        <v>20</v>
      </c>
    </row>
    <row r="19" spans="1:24" s="2" customFormat="1" x14ac:dyDescent="0.3">
      <c r="A19" s="326"/>
      <c r="B19" s="307"/>
      <c r="C19" s="307"/>
      <c r="D19" s="307"/>
      <c r="E19" s="307"/>
      <c r="F19" s="313"/>
      <c r="G19" s="342"/>
      <c r="H19" s="316"/>
      <c r="I19" s="319"/>
      <c r="J19" s="333"/>
      <c r="K19" s="336"/>
      <c r="L19" s="307"/>
      <c r="M19" s="307"/>
      <c r="N19" s="240">
        <v>45689</v>
      </c>
      <c r="O19" s="313"/>
      <c r="P19" s="233">
        <v>28796.27</v>
      </c>
      <c r="Q19" s="234">
        <v>45705</v>
      </c>
      <c r="R19" s="235"/>
      <c r="S19" s="233"/>
      <c r="T19" s="233"/>
      <c r="U19" s="316"/>
      <c r="V19" s="339"/>
      <c r="W19" s="304"/>
      <c r="X19" s="2">
        <v>20</v>
      </c>
    </row>
    <row r="20" spans="1:24" s="2" customFormat="1" x14ac:dyDescent="0.3">
      <c r="A20" s="326"/>
      <c r="B20" s="307"/>
      <c r="C20" s="307"/>
      <c r="D20" s="307"/>
      <c r="E20" s="307"/>
      <c r="F20" s="313"/>
      <c r="G20" s="342"/>
      <c r="H20" s="316"/>
      <c r="I20" s="319"/>
      <c r="J20" s="333"/>
      <c r="K20" s="336"/>
      <c r="L20" s="307"/>
      <c r="M20" s="307"/>
      <c r="N20" s="240">
        <v>45717</v>
      </c>
      <c r="O20" s="313"/>
      <c r="P20" s="233">
        <v>21597.200000000001</v>
      </c>
      <c r="Q20" s="234">
        <v>45719</v>
      </c>
      <c r="R20" s="235"/>
      <c r="S20" s="233"/>
      <c r="T20" s="233"/>
      <c r="U20" s="316"/>
      <c r="V20" s="339"/>
      <c r="W20" s="304"/>
      <c r="X20" s="2">
        <v>20</v>
      </c>
    </row>
    <row r="21" spans="1:24" s="2" customFormat="1" x14ac:dyDescent="0.3">
      <c r="A21" s="326"/>
      <c r="B21" s="307"/>
      <c r="C21" s="307"/>
      <c r="D21" s="307"/>
      <c r="E21" s="307"/>
      <c r="F21" s="313"/>
      <c r="G21" s="342"/>
      <c r="H21" s="316"/>
      <c r="I21" s="319"/>
      <c r="J21" s="333"/>
      <c r="K21" s="336"/>
      <c r="L21" s="307"/>
      <c r="M21" s="307"/>
      <c r="N21" s="240">
        <v>45716</v>
      </c>
      <c r="O21" s="313"/>
      <c r="P21" s="233">
        <v>9060.59</v>
      </c>
      <c r="Q21" s="234">
        <v>45729</v>
      </c>
      <c r="R21" s="235"/>
      <c r="S21" s="233"/>
      <c r="T21" s="233"/>
      <c r="U21" s="316"/>
      <c r="V21" s="339"/>
      <c r="W21" s="304"/>
      <c r="X21" s="2">
        <v>20</v>
      </c>
    </row>
    <row r="22" spans="1:24" s="2" customFormat="1" x14ac:dyDescent="0.3">
      <c r="A22" s="326"/>
      <c r="B22" s="307"/>
      <c r="C22" s="307"/>
      <c r="D22" s="307"/>
      <c r="E22" s="307"/>
      <c r="F22" s="313"/>
      <c r="G22" s="342"/>
      <c r="H22" s="316"/>
      <c r="I22" s="319"/>
      <c r="J22" s="333"/>
      <c r="K22" s="336"/>
      <c r="L22" s="307"/>
      <c r="M22" s="307"/>
      <c r="N22" s="240">
        <v>45717</v>
      </c>
      <c r="O22" s="313"/>
      <c r="P22" s="233">
        <v>24651.97</v>
      </c>
      <c r="Q22" s="234">
        <v>45729</v>
      </c>
      <c r="R22" s="235"/>
      <c r="S22" s="233"/>
      <c r="T22" s="233"/>
      <c r="U22" s="316"/>
      <c r="V22" s="339"/>
      <c r="W22" s="304"/>
      <c r="X22" s="2">
        <v>20</v>
      </c>
    </row>
    <row r="23" spans="1:24" s="2" customFormat="1" x14ac:dyDescent="0.3">
      <c r="A23" s="326"/>
      <c r="B23" s="307"/>
      <c r="C23" s="307"/>
      <c r="D23" s="307"/>
      <c r="E23" s="307"/>
      <c r="F23" s="313"/>
      <c r="G23" s="342"/>
      <c r="H23" s="316"/>
      <c r="I23" s="319"/>
      <c r="J23" s="333"/>
      <c r="K23" s="336"/>
      <c r="L23" s="307"/>
      <c r="M23" s="307"/>
      <c r="N23" s="240">
        <v>45748</v>
      </c>
      <c r="O23" s="313"/>
      <c r="P23" s="233">
        <v>18496.34</v>
      </c>
      <c r="Q23" s="234">
        <v>45748</v>
      </c>
      <c r="R23" s="235"/>
      <c r="S23" s="233"/>
      <c r="T23" s="233"/>
      <c r="U23" s="316"/>
      <c r="V23" s="339"/>
      <c r="W23" s="304"/>
      <c r="X23" s="2">
        <v>20</v>
      </c>
    </row>
    <row r="24" spans="1:24" s="2" customFormat="1" x14ac:dyDescent="0.3">
      <c r="A24" s="326"/>
      <c r="B24" s="307"/>
      <c r="C24" s="307"/>
      <c r="D24" s="307"/>
      <c r="E24" s="307"/>
      <c r="F24" s="313"/>
      <c r="G24" s="342"/>
      <c r="H24" s="316"/>
      <c r="I24" s="319"/>
      <c r="J24" s="333"/>
      <c r="K24" s="336"/>
      <c r="L24" s="307"/>
      <c r="M24" s="307"/>
      <c r="N24" s="240">
        <v>45747</v>
      </c>
      <c r="O24" s="313"/>
      <c r="P24" s="233">
        <v>9628.5499999999993</v>
      </c>
      <c r="Q24" s="234">
        <v>45761</v>
      </c>
      <c r="R24" s="235"/>
      <c r="S24" s="233"/>
      <c r="T24" s="233"/>
      <c r="U24" s="316"/>
      <c r="V24" s="339"/>
      <c r="W24" s="304"/>
      <c r="X24" s="2">
        <v>20</v>
      </c>
    </row>
    <row r="25" spans="1:24" s="2" customFormat="1" x14ac:dyDescent="0.3">
      <c r="A25" s="322"/>
      <c r="B25" s="308"/>
      <c r="C25" s="308"/>
      <c r="D25" s="308"/>
      <c r="E25" s="308"/>
      <c r="F25" s="314"/>
      <c r="G25" s="343"/>
      <c r="H25" s="317"/>
      <c r="I25" s="320"/>
      <c r="J25" s="334"/>
      <c r="K25" s="337"/>
      <c r="L25" s="308"/>
      <c r="M25" s="308"/>
      <c r="N25" s="241">
        <v>45748</v>
      </c>
      <c r="O25" s="314"/>
      <c r="P25" s="236">
        <v>22353.7</v>
      </c>
      <c r="Q25" s="237">
        <v>45761</v>
      </c>
      <c r="R25" s="238"/>
      <c r="S25" s="236"/>
      <c r="T25" s="236"/>
      <c r="U25" s="317"/>
      <c r="V25" s="340"/>
      <c r="W25" s="305"/>
      <c r="X25" s="2">
        <v>20</v>
      </c>
    </row>
    <row r="26" spans="1:24" s="106" customFormat="1" ht="72" customHeight="1" x14ac:dyDescent="0.3">
      <c r="A26" s="321">
        <v>4</v>
      </c>
      <c r="B26" s="306" t="s">
        <v>56</v>
      </c>
      <c r="C26" s="306" t="s">
        <v>146</v>
      </c>
      <c r="D26" s="306" t="s">
        <v>147</v>
      </c>
      <c r="E26" s="306" t="s">
        <v>172</v>
      </c>
      <c r="F26" s="312">
        <v>45654</v>
      </c>
      <c r="G26" s="341" t="s">
        <v>148</v>
      </c>
      <c r="H26" s="315">
        <v>50565.84</v>
      </c>
      <c r="I26" s="318">
        <f>IF(X26 = 21, H26 + SUM(S26:S28) - SUM(T26:T28) - SUM(P26:P28) - V26,0)</f>
        <v>38438.789999999994</v>
      </c>
      <c r="J26" s="332">
        <v>2308131994</v>
      </c>
      <c r="K26" s="335" t="s">
        <v>161</v>
      </c>
      <c r="L26" s="306" t="s">
        <v>146</v>
      </c>
      <c r="M26" s="306"/>
      <c r="N26" s="239">
        <v>45688</v>
      </c>
      <c r="O26" s="312" t="s">
        <v>169</v>
      </c>
      <c r="P26" s="230">
        <v>4042.35</v>
      </c>
      <c r="Q26" s="231">
        <v>45692</v>
      </c>
      <c r="R26" s="232"/>
      <c r="S26" s="230"/>
      <c r="T26" s="230"/>
      <c r="U26" s="315"/>
      <c r="V26" s="338"/>
      <c r="W26" s="303"/>
      <c r="X26" s="106">
        <v>21</v>
      </c>
    </row>
    <row r="27" spans="1:24" s="2" customFormat="1" x14ac:dyDescent="0.3">
      <c r="A27" s="326"/>
      <c r="B27" s="307"/>
      <c r="C27" s="307"/>
      <c r="D27" s="307"/>
      <c r="E27" s="307"/>
      <c r="F27" s="313"/>
      <c r="G27" s="342"/>
      <c r="H27" s="316"/>
      <c r="I27" s="319"/>
      <c r="J27" s="333"/>
      <c r="K27" s="336"/>
      <c r="L27" s="307"/>
      <c r="M27" s="307"/>
      <c r="N27" s="240">
        <v>45716</v>
      </c>
      <c r="O27" s="313"/>
      <c r="P27" s="233">
        <v>4042.35</v>
      </c>
      <c r="Q27" s="234">
        <v>45727</v>
      </c>
      <c r="R27" s="235"/>
      <c r="S27" s="233"/>
      <c r="T27" s="233"/>
      <c r="U27" s="316"/>
      <c r="V27" s="339"/>
      <c r="W27" s="304"/>
      <c r="X27" s="2">
        <v>21</v>
      </c>
    </row>
    <row r="28" spans="1:24" s="2" customFormat="1" x14ac:dyDescent="0.3">
      <c r="A28" s="322"/>
      <c r="B28" s="308"/>
      <c r="C28" s="308"/>
      <c r="D28" s="308"/>
      <c r="E28" s="308"/>
      <c r="F28" s="314"/>
      <c r="G28" s="343"/>
      <c r="H28" s="317"/>
      <c r="I28" s="320"/>
      <c r="J28" s="334"/>
      <c r="K28" s="337"/>
      <c r="L28" s="308"/>
      <c r="M28" s="308"/>
      <c r="N28" s="241" t="s">
        <v>275</v>
      </c>
      <c r="O28" s="314"/>
      <c r="P28" s="236">
        <v>4042.35</v>
      </c>
      <c r="Q28" s="237">
        <v>45749</v>
      </c>
      <c r="R28" s="238"/>
      <c r="S28" s="236"/>
      <c r="T28" s="236"/>
      <c r="U28" s="317"/>
      <c r="V28" s="340"/>
      <c r="W28" s="305"/>
      <c r="X28" s="2">
        <v>21</v>
      </c>
    </row>
    <row r="29" spans="1:24" s="106" customFormat="1" ht="187.5" customHeight="1" x14ac:dyDescent="0.3">
      <c r="A29" s="374">
        <v>5</v>
      </c>
      <c r="B29" s="380" t="s">
        <v>56</v>
      </c>
      <c r="C29" s="380" t="s">
        <v>146</v>
      </c>
      <c r="D29" s="380" t="s">
        <v>147</v>
      </c>
      <c r="E29" s="380" t="s">
        <v>36</v>
      </c>
      <c r="F29" s="376">
        <v>45654</v>
      </c>
      <c r="G29" s="384" t="s">
        <v>185</v>
      </c>
      <c r="H29" s="387">
        <v>17500</v>
      </c>
      <c r="I29" s="390">
        <f>IF(X29 = 22, H29 + SUM(S29:S33) - SUM(T29:T33) - SUM(P29:P33) - V29,0)</f>
        <v>7500</v>
      </c>
      <c r="J29" s="393">
        <v>235301271520</v>
      </c>
      <c r="K29" s="396" t="s">
        <v>158</v>
      </c>
      <c r="L29" s="380" t="s">
        <v>146</v>
      </c>
      <c r="M29" s="380"/>
      <c r="N29" s="127">
        <v>45681</v>
      </c>
      <c r="O29" s="376" t="s">
        <v>183</v>
      </c>
      <c r="P29" s="128">
        <v>2500</v>
      </c>
      <c r="Q29" s="129">
        <v>45693</v>
      </c>
      <c r="R29" s="130"/>
      <c r="S29" s="128"/>
      <c r="T29" s="128"/>
      <c r="U29" s="387"/>
      <c r="V29" s="378"/>
      <c r="W29" s="419"/>
      <c r="X29" s="106">
        <v>22</v>
      </c>
    </row>
    <row r="30" spans="1:24" s="2" customFormat="1" x14ac:dyDescent="0.3">
      <c r="A30" s="375"/>
      <c r="B30" s="381"/>
      <c r="C30" s="381"/>
      <c r="D30" s="381"/>
      <c r="E30" s="381"/>
      <c r="F30" s="377"/>
      <c r="G30" s="385"/>
      <c r="H30" s="388"/>
      <c r="I30" s="391"/>
      <c r="J30" s="394"/>
      <c r="K30" s="397"/>
      <c r="L30" s="381"/>
      <c r="M30" s="381"/>
      <c r="N30" s="135">
        <v>45713</v>
      </c>
      <c r="O30" s="377"/>
      <c r="P30" s="136">
        <v>2500</v>
      </c>
      <c r="Q30" s="137">
        <v>45716</v>
      </c>
      <c r="R30" s="138"/>
      <c r="S30" s="136"/>
      <c r="T30" s="136"/>
      <c r="U30" s="388"/>
      <c r="V30" s="379"/>
      <c r="W30" s="420"/>
      <c r="X30" s="2">
        <v>22</v>
      </c>
    </row>
    <row r="31" spans="1:24" s="2" customFormat="1" x14ac:dyDescent="0.3">
      <c r="A31" s="375"/>
      <c r="B31" s="381"/>
      <c r="C31" s="381"/>
      <c r="D31" s="381"/>
      <c r="E31" s="381"/>
      <c r="F31" s="377"/>
      <c r="G31" s="385"/>
      <c r="H31" s="388"/>
      <c r="I31" s="391"/>
      <c r="J31" s="394"/>
      <c r="K31" s="397"/>
      <c r="L31" s="381"/>
      <c r="M31" s="381"/>
      <c r="N31" s="135">
        <v>45741</v>
      </c>
      <c r="O31" s="377"/>
      <c r="P31" s="136">
        <v>2500</v>
      </c>
      <c r="Q31" s="137">
        <v>45742</v>
      </c>
      <c r="R31" s="138"/>
      <c r="S31" s="136"/>
      <c r="T31" s="136"/>
      <c r="U31" s="388"/>
      <c r="V31" s="379"/>
      <c r="W31" s="420"/>
      <c r="X31" s="2">
        <v>22</v>
      </c>
    </row>
    <row r="32" spans="1:24" s="2" customFormat="1" x14ac:dyDescent="0.3">
      <c r="A32" s="375"/>
      <c r="B32" s="381"/>
      <c r="C32" s="381"/>
      <c r="D32" s="381"/>
      <c r="E32" s="381"/>
      <c r="F32" s="377"/>
      <c r="G32" s="385"/>
      <c r="H32" s="388"/>
      <c r="I32" s="391"/>
      <c r="J32" s="394"/>
      <c r="K32" s="397"/>
      <c r="L32" s="381"/>
      <c r="M32" s="381"/>
      <c r="N32" s="135">
        <v>45771</v>
      </c>
      <c r="O32" s="377"/>
      <c r="P32" s="136">
        <v>2500</v>
      </c>
      <c r="Q32" s="137">
        <v>45777</v>
      </c>
      <c r="R32" s="138"/>
      <c r="S32" s="136"/>
      <c r="T32" s="136"/>
      <c r="U32" s="388"/>
      <c r="V32" s="379"/>
      <c r="W32" s="420"/>
      <c r="X32" s="2">
        <v>22</v>
      </c>
    </row>
    <row r="33" spans="1:24" s="2" customFormat="1" x14ac:dyDescent="0.3">
      <c r="A33" s="375"/>
      <c r="B33" s="381"/>
      <c r="C33" s="381"/>
      <c r="D33" s="381"/>
      <c r="E33" s="381"/>
      <c r="F33" s="377"/>
      <c r="G33" s="385"/>
      <c r="H33" s="388"/>
      <c r="I33" s="391"/>
      <c r="J33" s="394"/>
      <c r="K33" s="397"/>
      <c r="L33" s="381"/>
      <c r="M33" s="381"/>
      <c r="N33" s="135"/>
      <c r="O33" s="377"/>
      <c r="P33" s="136"/>
      <c r="Q33" s="137"/>
      <c r="R33" s="138"/>
      <c r="S33" s="136"/>
      <c r="T33" s="136"/>
      <c r="U33" s="388"/>
      <c r="V33" s="379"/>
      <c r="W33" s="420"/>
      <c r="X33" s="2">
        <v>22</v>
      </c>
    </row>
    <row r="34" spans="1:24" s="106" customFormat="1" ht="187.5" customHeight="1" x14ac:dyDescent="0.3">
      <c r="A34" s="374">
        <v>6</v>
      </c>
      <c r="B34" s="380" t="s">
        <v>56</v>
      </c>
      <c r="C34" s="380" t="s">
        <v>146</v>
      </c>
      <c r="D34" s="380" t="s">
        <v>147</v>
      </c>
      <c r="E34" s="380" t="s">
        <v>111</v>
      </c>
      <c r="F34" s="376">
        <v>45654</v>
      </c>
      <c r="G34" s="384" t="s">
        <v>186</v>
      </c>
      <c r="H34" s="387">
        <v>17400</v>
      </c>
      <c r="I34" s="390">
        <f>IF(X34 = 23, H34 + SUM(S34:S38) - SUM(T34:T38) - SUM(P34:P38) - V34,0)</f>
        <v>11600</v>
      </c>
      <c r="J34" s="393">
        <v>231107998282</v>
      </c>
      <c r="K34" s="396" t="s">
        <v>187</v>
      </c>
      <c r="L34" s="380" t="s">
        <v>146</v>
      </c>
      <c r="M34" s="380"/>
      <c r="N34" s="127">
        <v>45688</v>
      </c>
      <c r="O34" s="376" t="s">
        <v>183</v>
      </c>
      <c r="P34" s="128">
        <v>1450</v>
      </c>
      <c r="Q34" s="129">
        <v>45693</v>
      </c>
      <c r="R34" s="130"/>
      <c r="S34" s="128"/>
      <c r="T34" s="128"/>
      <c r="U34" s="387"/>
      <c r="V34" s="378"/>
      <c r="W34" s="419"/>
      <c r="X34" s="106">
        <v>23</v>
      </c>
    </row>
    <row r="35" spans="1:24" s="2" customFormat="1" x14ac:dyDescent="0.3">
      <c r="A35" s="375"/>
      <c r="B35" s="381"/>
      <c r="C35" s="381"/>
      <c r="D35" s="381"/>
      <c r="E35" s="381"/>
      <c r="F35" s="377"/>
      <c r="G35" s="385"/>
      <c r="H35" s="388"/>
      <c r="I35" s="391"/>
      <c r="J35" s="394"/>
      <c r="K35" s="397"/>
      <c r="L35" s="381"/>
      <c r="M35" s="381"/>
      <c r="N35" s="135">
        <v>45716</v>
      </c>
      <c r="O35" s="377"/>
      <c r="P35" s="136">
        <v>1450</v>
      </c>
      <c r="Q35" s="137">
        <v>45716</v>
      </c>
      <c r="R35" s="138"/>
      <c r="S35" s="136"/>
      <c r="T35" s="136"/>
      <c r="U35" s="388"/>
      <c r="V35" s="379"/>
      <c r="W35" s="420"/>
      <c r="X35" s="2">
        <v>23</v>
      </c>
    </row>
    <row r="36" spans="1:24" s="2" customFormat="1" x14ac:dyDescent="0.3">
      <c r="A36" s="375"/>
      <c r="B36" s="381"/>
      <c r="C36" s="381"/>
      <c r="D36" s="381"/>
      <c r="E36" s="381"/>
      <c r="F36" s="377"/>
      <c r="G36" s="385"/>
      <c r="H36" s="388"/>
      <c r="I36" s="391"/>
      <c r="J36" s="394"/>
      <c r="K36" s="397"/>
      <c r="L36" s="381"/>
      <c r="M36" s="381"/>
      <c r="N36" s="135">
        <v>45747</v>
      </c>
      <c r="O36" s="377"/>
      <c r="P36" s="136">
        <v>1450</v>
      </c>
      <c r="Q36" s="137">
        <v>45748</v>
      </c>
      <c r="R36" s="138"/>
      <c r="S36" s="136"/>
      <c r="T36" s="136"/>
      <c r="U36" s="388"/>
      <c r="V36" s="379"/>
      <c r="W36" s="420"/>
      <c r="X36" s="2">
        <v>23</v>
      </c>
    </row>
    <row r="37" spans="1:24" s="2" customFormat="1" x14ac:dyDescent="0.3">
      <c r="A37" s="375"/>
      <c r="B37" s="381"/>
      <c r="C37" s="381"/>
      <c r="D37" s="381"/>
      <c r="E37" s="381"/>
      <c r="F37" s="377"/>
      <c r="G37" s="385"/>
      <c r="H37" s="388"/>
      <c r="I37" s="391"/>
      <c r="J37" s="394"/>
      <c r="K37" s="397"/>
      <c r="L37" s="381"/>
      <c r="M37" s="381"/>
      <c r="N37" s="135">
        <v>45777</v>
      </c>
      <c r="O37" s="377"/>
      <c r="P37" s="136">
        <v>1450</v>
      </c>
      <c r="Q37" s="137">
        <v>45777</v>
      </c>
      <c r="R37" s="138"/>
      <c r="S37" s="136"/>
      <c r="T37" s="136"/>
      <c r="U37" s="388"/>
      <c r="V37" s="379"/>
      <c r="W37" s="420"/>
      <c r="X37" s="2">
        <v>23</v>
      </c>
    </row>
    <row r="38" spans="1:24" s="2" customFormat="1" x14ac:dyDescent="0.3">
      <c r="A38" s="421"/>
      <c r="B38" s="382"/>
      <c r="C38" s="382"/>
      <c r="D38" s="382"/>
      <c r="E38" s="382"/>
      <c r="F38" s="383"/>
      <c r="G38" s="386"/>
      <c r="H38" s="389"/>
      <c r="I38" s="392"/>
      <c r="J38" s="395"/>
      <c r="K38" s="398"/>
      <c r="L38" s="382"/>
      <c r="M38" s="382"/>
      <c r="N38" s="131"/>
      <c r="O38" s="383"/>
      <c r="P38" s="132"/>
      <c r="Q38" s="133"/>
      <c r="R38" s="134"/>
      <c r="S38" s="132"/>
      <c r="T38" s="132"/>
      <c r="U38" s="389"/>
      <c r="V38" s="425"/>
      <c r="W38" s="424"/>
      <c r="X38" s="2">
        <v>23</v>
      </c>
    </row>
    <row r="39" spans="1:24" s="106" customFormat="1" ht="108" x14ac:dyDescent="0.3">
      <c r="A39" s="117">
        <v>7</v>
      </c>
      <c r="B39" s="118" t="s">
        <v>56</v>
      </c>
      <c r="C39" s="118" t="s">
        <v>146</v>
      </c>
      <c r="D39" s="118" t="s">
        <v>175</v>
      </c>
      <c r="E39" s="118" t="s">
        <v>201</v>
      </c>
      <c r="F39" s="126">
        <v>45654</v>
      </c>
      <c r="G39" s="119" t="s">
        <v>184</v>
      </c>
      <c r="H39" s="120">
        <v>9600</v>
      </c>
      <c r="I39" s="121">
        <f>IF(X39 = 24, H39 + SUM(S39:S39) - SUM(T39:T39) - SUM(P39:P39) - V39,0)</f>
        <v>7200</v>
      </c>
      <c r="J39" s="122">
        <v>2369000660</v>
      </c>
      <c r="K39" s="123" t="s">
        <v>157</v>
      </c>
      <c r="L39" s="118" t="s">
        <v>146</v>
      </c>
      <c r="M39" s="118"/>
      <c r="N39" s="126">
        <v>45747</v>
      </c>
      <c r="O39" s="126" t="s">
        <v>183</v>
      </c>
      <c r="P39" s="120">
        <v>2400</v>
      </c>
      <c r="Q39" s="119">
        <v>45748</v>
      </c>
      <c r="R39" s="118"/>
      <c r="S39" s="120"/>
      <c r="T39" s="120"/>
      <c r="U39" s="120"/>
      <c r="V39" s="124"/>
      <c r="W39" s="125"/>
      <c r="X39" s="106">
        <v>24</v>
      </c>
    </row>
    <row r="40" spans="1:24" s="106" customFormat="1" ht="131.25" customHeight="1" x14ac:dyDescent="0.3">
      <c r="A40" s="321">
        <v>8</v>
      </c>
      <c r="B40" s="306" t="s">
        <v>56</v>
      </c>
      <c r="C40" s="306" t="s">
        <v>146</v>
      </c>
      <c r="D40" s="306" t="s">
        <v>176</v>
      </c>
      <c r="E40" s="306" t="s">
        <v>110</v>
      </c>
      <c r="F40" s="312">
        <v>45654</v>
      </c>
      <c r="G40" s="341" t="s">
        <v>188</v>
      </c>
      <c r="H40" s="315">
        <v>30000</v>
      </c>
      <c r="I40" s="318">
        <f>IF(X40 = 25, H40 + SUM(S40:S43) - SUM(T40:T43) - SUM(P40:P43) - V40,0)</f>
        <v>20000</v>
      </c>
      <c r="J40" s="332">
        <v>231107998282</v>
      </c>
      <c r="K40" s="335" t="s">
        <v>187</v>
      </c>
      <c r="L40" s="306" t="s">
        <v>146</v>
      </c>
      <c r="M40" s="306"/>
      <c r="N40" s="239">
        <v>45688</v>
      </c>
      <c r="O40" s="312" t="s">
        <v>183</v>
      </c>
      <c r="P40" s="230">
        <v>2500</v>
      </c>
      <c r="Q40" s="231">
        <v>45693</v>
      </c>
      <c r="R40" s="232"/>
      <c r="S40" s="230"/>
      <c r="T40" s="230"/>
      <c r="U40" s="315"/>
      <c r="V40" s="338"/>
      <c r="W40" s="303"/>
      <c r="X40" s="106">
        <v>25</v>
      </c>
    </row>
    <row r="41" spans="1:24" s="2" customFormat="1" x14ac:dyDescent="0.3">
      <c r="A41" s="326"/>
      <c r="B41" s="307"/>
      <c r="C41" s="307"/>
      <c r="D41" s="307"/>
      <c r="E41" s="307"/>
      <c r="F41" s="313"/>
      <c r="G41" s="342"/>
      <c r="H41" s="316"/>
      <c r="I41" s="319"/>
      <c r="J41" s="333"/>
      <c r="K41" s="336"/>
      <c r="L41" s="307"/>
      <c r="M41" s="307"/>
      <c r="N41" s="240">
        <v>45716</v>
      </c>
      <c r="O41" s="313"/>
      <c r="P41" s="233">
        <v>2500</v>
      </c>
      <c r="Q41" s="234">
        <v>45716</v>
      </c>
      <c r="R41" s="235"/>
      <c r="S41" s="233"/>
      <c r="T41" s="233"/>
      <c r="U41" s="316"/>
      <c r="V41" s="339"/>
      <c r="W41" s="304"/>
      <c r="X41" s="2">
        <v>25</v>
      </c>
    </row>
    <row r="42" spans="1:24" s="2" customFormat="1" x14ac:dyDescent="0.3">
      <c r="A42" s="326"/>
      <c r="B42" s="307"/>
      <c r="C42" s="307"/>
      <c r="D42" s="307"/>
      <c r="E42" s="307"/>
      <c r="F42" s="313"/>
      <c r="G42" s="342"/>
      <c r="H42" s="316"/>
      <c r="I42" s="319"/>
      <c r="J42" s="333"/>
      <c r="K42" s="336"/>
      <c r="L42" s="307"/>
      <c r="M42" s="307"/>
      <c r="N42" s="240">
        <v>45747</v>
      </c>
      <c r="O42" s="313"/>
      <c r="P42" s="233">
        <v>2500</v>
      </c>
      <c r="Q42" s="234">
        <v>45748</v>
      </c>
      <c r="R42" s="235"/>
      <c r="S42" s="233"/>
      <c r="T42" s="233"/>
      <c r="U42" s="316"/>
      <c r="V42" s="339"/>
      <c r="W42" s="304"/>
      <c r="X42" s="2">
        <v>25</v>
      </c>
    </row>
    <row r="43" spans="1:24" s="2" customFormat="1" x14ac:dyDescent="0.3">
      <c r="A43" s="322"/>
      <c r="B43" s="308"/>
      <c r="C43" s="308"/>
      <c r="D43" s="308"/>
      <c r="E43" s="308"/>
      <c r="F43" s="314"/>
      <c r="G43" s="343"/>
      <c r="H43" s="317"/>
      <c r="I43" s="320"/>
      <c r="J43" s="334"/>
      <c r="K43" s="337"/>
      <c r="L43" s="308"/>
      <c r="M43" s="308"/>
      <c r="N43" s="241">
        <v>45777</v>
      </c>
      <c r="O43" s="314"/>
      <c r="P43" s="236">
        <v>2500</v>
      </c>
      <c r="Q43" s="237">
        <v>45777</v>
      </c>
      <c r="R43" s="238"/>
      <c r="S43" s="236"/>
      <c r="T43" s="236"/>
      <c r="U43" s="317"/>
      <c r="V43" s="340"/>
      <c r="W43" s="305"/>
      <c r="X43" s="2">
        <v>25</v>
      </c>
    </row>
    <row r="44" spans="1:24" s="106" customFormat="1" ht="90" customHeight="1" x14ac:dyDescent="0.3">
      <c r="A44" s="321">
        <v>9</v>
      </c>
      <c r="B44" s="306" t="s">
        <v>56</v>
      </c>
      <c r="C44" s="306" t="s">
        <v>146</v>
      </c>
      <c r="D44" s="306" t="s">
        <v>147</v>
      </c>
      <c r="E44" s="306" t="s">
        <v>112</v>
      </c>
      <c r="F44" s="312">
        <v>45654</v>
      </c>
      <c r="G44" s="341" t="s">
        <v>189</v>
      </c>
      <c r="H44" s="315">
        <v>195031.2</v>
      </c>
      <c r="I44" s="318">
        <f>IF(X44 = 26, H44 + SUM(S44:S58) - SUM(T44:T58) - SUM(P44:P58) - V44,0)</f>
        <v>55421.400000000023</v>
      </c>
      <c r="J44" s="332">
        <v>2353020735</v>
      </c>
      <c r="K44" s="335" t="s">
        <v>156</v>
      </c>
      <c r="L44" s="306" t="s">
        <v>146</v>
      </c>
      <c r="M44" s="306"/>
      <c r="N44" s="239">
        <v>45688</v>
      </c>
      <c r="O44" s="312" t="s">
        <v>183</v>
      </c>
      <c r="P44" s="230">
        <v>5812.8</v>
      </c>
      <c r="Q44" s="231">
        <v>45706</v>
      </c>
      <c r="R44" s="232"/>
      <c r="S44" s="230"/>
      <c r="T44" s="230"/>
      <c r="U44" s="315"/>
      <c r="V44" s="338"/>
      <c r="W44" s="303"/>
      <c r="X44" s="106">
        <v>26</v>
      </c>
    </row>
    <row r="45" spans="1:24" s="2" customFormat="1" x14ac:dyDescent="0.3">
      <c r="A45" s="326"/>
      <c r="B45" s="307"/>
      <c r="C45" s="307"/>
      <c r="D45" s="307"/>
      <c r="E45" s="307"/>
      <c r="F45" s="313"/>
      <c r="G45" s="342"/>
      <c r="H45" s="316"/>
      <c r="I45" s="319"/>
      <c r="J45" s="333"/>
      <c r="K45" s="336"/>
      <c r="L45" s="307"/>
      <c r="M45" s="307"/>
      <c r="N45" s="240">
        <v>45688</v>
      </c>
      <c r="O45" s="313"/>
      <c r="P45" s="233">
        <v>1960</v>
      </c>
      <c r="Q45" s="234">
        <v>45706</v>
      </c>
      <c r="R45" s="235"/>
      <c r="S45" s="233"/>
      <c r="T45" s="233"/>
      <c r="U45" s="316"/>
      <c r="V45" s="339"/>
      <c r="W45" s="304"/>
      <c r="X45" s="2">
        <v>26</v>
      </c>
    </row>
    <row r="46" spans="1:24" s="2" customFormat="1" x14ac:dyDescent="0.3">
      <c r="A46" s="326"/>
      <c r="B46" s="307"/>
      <c r="C46" s="307"/>
      <c r="D46" s="307"/>
      <c r="E46" s="307"/>
      <c r="F46" s="313"/>
      <c r="G46" s="342"/>
      <c r="H46" s="316"/>
      <c r="I46" s="319"/>
      <c r="J46" s="333"/>
      <c r="K46" s="336"/>
      <c r="L46" s="307"/>
      <c r="M46" s="307"/>
      <c r="N46" s="240">
        <v>45688</v>
      </c>
      <c r="O46" s="313"/>
      <c r="P46" s="233">
        <v>10570</v>
      </c>
      <c r="Q46" s="234">
        <v>45706</v>
      </c>
      <c r="R46" s="235"/>
      <c r="S46" s="233"/>
      <c r="T46" s="233"/>
      <c r="U46" s="316"/>
      <c r="V46" s="339"/>
      <c r="W46" s="304"/>
      <c r="X46" s="2">
        <v>26</v>
      </c>
    </row>
    <row r="47" spans="1:24" s="2" customFormat="1" x14ac:dyDescent="0.3">
      <c r="A47" s="326"/>
      <c r="B47" s="307"/>
      <c r="C47" s="307"/>
      <c r="D47" s="307"/>
      <c r="E47" s="307"/>
      <c r="F47" s="313"/>
      <c r="G47" s="342"/>
      <c r="H47" s="316"/>
      <c r="I47" s="319"/>
      <c r="J47" s="333"/>
      <c r="K47" s="336"/>
      <c r="L47" s="307"/>
      <c r="M47" s="307"/>
      <c r="N47" s="240">
        <v>45688</v>
      </c>
      <c r="O47" s="313"/>
      <c r="P47" s="233">
        <v>17267.490000000002</v>
      </c>
      <c r="Q47" s="234">
        <v>45706</v>
      </c>
      <c r="R47" s="235"/>
      <c r="S47" s="233"/>
      <c r="T47" s="233"/>
      <c r="U47" s="316"/>
      <c r="V47" s="339"/>
      <c r="W47" s="304"/>
      <c r="X47" s="2">
        <v>26</v>
      </c>
    </row>
    <row r="48" spans="1:24" s="2" customFormat="1" x14ac:dyDescent="0.3">
      <c r="A48" s="326"/>
      <c r="B48" s="307"/>
      <c r="C48" s="307"/>
      <c r="D48" s="307"/>
      <c r="E48" s="307"/>
      <c r="F48" s="313"/>
      <c r="G48" s="342"/>
      <c r="H48" s="316"/>
      <c r="I48" s="319"/>
      <c r="J48" s="333"/>
      <c r="K48" s="336"/>
      <c r="L48" s="307"/>
      <c r="M48" s="307"/>
      <c r="N48" s="240">
        <v>45688</v>
      </c>
      <c r="O48" s="313"/>
      <c r="P48" s="233">
        <v>14128.11</v>
      </c>
      <c r="Q48" s="234">
        <v>45706</v>
      </c>
      <c r="R48" s="235"/>
      <c r="S48" s="233"/>
      <c r="T48" s="233"/>
      <c r="U48" s="316"/>
      <c r="V48" s="339"/>
      <c r="W48" s="304"/>
      <c r="X48" s="2">
        <v>26</v>
      </c>
    </row>
    <row r="49" spans="1:24" s="2" customFormat="1" x14ac:dyDescent="0.3">
      <c r="A49" s="326"/>
      <c r="B49" s="307"/>
      <c r="C49" s="307"/>
      <c r="D49" s="307"/>
      <c r="E49" s="307"/>
      <c r="F49" s="313"/>
      <c r="G49" s="342"/>
      <c r="H49" s="316"/>
      <c r="I49" s="319"/>
      <c r="J49" s="333"/>
      <c r="K49" s="336"/>
      <c r="L49" s="307"/>
      <c r="M49" s="307"/>
      <c r="N49" s="240">
        <v>45716</v>
      </c>
      <c r="O49" s="313"/>
      <c r="P49" s="233">
        <v>6228</v>
      </c>
      <c r="Q49" s="234">
        <v>45730</v>
      </c>
      <c r="R49" s="235"/>
      <c r="S49" s="233"/>
      <c r="T49" s="233"/>
      <c r="U49" s="316"/>
      <c r="V49" s="339"/>
      <c r="W49" s="304"/>
      <c r="X49" s="2">
        <v>26</v>
      </c>
    </row>
    <row r="50" spans="1:24" s="2" customFormat="1" x14ac:dyDescent="0.3">
      <c r="A50" s="326"/>
      <c r="B50" s="307"/>
      <c r="C50" s="307"/>
      <c r="D50" s="307"/>
      <c r="E50" s="307"/>
      <c r="F50" s="313"/>
      <c r="G50" s="342"/>
      <c r="H50" s="316"/>
      <c r="I50" s="319"/>
      <c r="J50" s="333"/>
      <c r="K50" s="336"/>
      <c r="L50" s="307"/>
      <c r="M50" s="307"/>
      <c r="N50" s="240">
        <v>45716</v>
      </c>
      <c r="O50" s="313"/>
      <c r="P50" s="233">
        <v>2100</v>
      </c>
      <c r="Q50" s="234">
        <v>45730</v>
      </c>
      <c r="R50" s="235"/>
      <c r="S50" s="233"/>
      <c r="T50" s="233"/>
      <c r="U50" s="316"/>
      <c r="V50" s="339"/>
      <c r="W50" s="304"/>
      <c r="X50" s="2">
        <v>26</v>
      </c>
    </row>
    <row r="51" spans="1:24" s="2" customFormat="1" x14ac:dyDescent="0.3">
      <c r="A51" s="326"/>
      <c r="B51" s="307"/>
      <c r="C51" s="307"/>
      <c r="D51" s="307"/>
      <c r="E51" s="307"/>
      <c r="F51" s="313"/>
      <c r="G51" s="342"/>
      <c r="H51" s="316"/>
      <c r="I51" s="319"/>
      <c r="J51" s="333"/>
      <c r="K51" s="336"/>
      <c r="L51" s="307"/>
      <c r="M51" s="307"/>
      <c r="N51" s="240">
        <v>45716</v>
      </c>
      <c r="O51" s="313"/>
      <c r="P51" s="233">
        <v>9590</v>
      </c>
      <c r="Q51" s="234">
        <v>45730</v>
      </c>
      <c r="R51" s="235"/>
      <c r="S51" s="233"/>
      <c r="T51" s="233"/>
      <c r="U51" s="316"/>
      <c r="V51" s="339"/>
      <c r="W51" s="304"/>
      <c r="X51" s="2">
        <v>26</v>
      </c>
    </row>
    <row r="52" spans="1:24" s="2" customFormat="1" x14ac:dyDescent="0.3">
      <c r="A52" s="326"/>
      <c r="B52" s="307"/>
      <c r="C52" s="307"/>
      <c r="D52" s="307"/>
      <c r="E52" s="307"/>
      <c r="F52" s="313"/>
      <c r="G52" s="342"/>
      <c r="H52" s="316"/>
      <c r="I52" s="319"/>
      <c r="J52" s="333"/>
      <c r="K52" s="336"/>
      <c r="L52" s="307"/>
      <c r="M52" s="307"/>
      <c r="N52" s="240">
        <v>45716</v>
      </c>
      <c r="O52" s="313"/>
      <c r="P52" s="233">
        <v>15661.72</v>
      </c>
      <c r="Q52" s="234">
        <v>45730</v>
      </c>
      <c r="R52" s="235"/>
      <c r="S52" s="233"/>
      <c r="T52" s="233"/>
      <c r="U52" s="316"/>
      <c r="V52" s="339"/>
      <c r="W52" s="304"/>
      <c r="X52" s="2">
        <v>26</v>
      </c>
    </row>
    <row r="53" spans="1:24" s="2" customFormat="1" x14ac:dyDescent="0.3">
      <c r="A53" s="326"/>
      <c r="B53" s="307"/>
      <c r="C53" s="307"/>
      <c r="D53" s="307"/>
      <c r="E53" s="307"/>
      <c r="F53" s="313"/>
      <c r="G53" s="342"/>
      <c r="H53" s="316"/>
      <c r="I53" s="319"/>
      <c r="J53" s="333"/>
      <c r="K53" s="336"/>
      <c r="L53" s="307"/>
      <c r="M53" s="307"/>
      <c r="N53" s="240">
        <v>45716</v>
      </c>
      <c r="O53" s="313"/>
      <c r="P53" s="233">
        <v>12814.28</v>
      </c>
      <c r="Q53" s="234">
        <v>45730</v>
      </c>
      <c r="R53" s="235"/>
      <c r="S53" s="233"/>
      <c r="T53" s="233"/>
      <c r="U53" s="316"/>
      <c r="V53" s="339"/>
      <c r="W53" s="304"/>
      <c r="X53" s="2">
        <v>26</v>
      </c>
    </row>
    <row r="54" spans="1:24" s="2" customFormat="1" x14ac:dyDescent="0.3">
      <c r="A54" s="326"/>
      <c r="B54" s="307"/>
      <c r="C54" s="307"/>
      <c r="D54" s="307"/>
      <c r="E54" s="307"/>
      <c r="F54" s="313"/>
      <c r="G54" s="342"/>
      <c r="H54" s="316"/>
      <c r="I54" s="319"/>
      <c r="J54" s="333"/>
      <c r="K54" s="336"/>
      <c r="L54" s="307"/>
      <c r="M54" s="307"/>
      <c r="N54" s="240">
        <v>45747</v>
      </c>
      <c r="O54" s="313"/>
      <c r="P54" s="233">
        <v>6228</v>
      </c>
      <c r="Q54" s="234">
        <v>45761</v>
      </c>
      <c r="R54" s="235"/>
      <c r="S54" s="233"/>
      <c r="T54" s="233"/>
      <c r="U54" s="316"/>
      <c r="V54" s="339"/>
      <c r="W54" s="304"/>
      <c r="X54" s="2">
        <v>26</v>
      </c>
    </row>
    <row r="55" spans="1:24" s="2" customFormat="1" x14ac:dyDescent="0.3">
      <c r="A55" s="326"/>
      <c r="B55" s="307"/>
      <c r="C55" s="307"/>
      <c r="D55" s="307"/>
      <c r="E55" s="307"/>
      <c r="F55" s="313"/>
      <c r="G55" s="342"/>
      <c r="H55" s="316"/>
      <c r="I55" s="319"/>
      <c r="J55" s="333"/>
      <c r="K55" s="336"/>
      <c r="L55" s="307"/>
      <c r="M55" s="307"/>
      <c r="N55" s="240">
        <v>45747</v>
      </c>
      <c r="O55" s="313"/>
      <c r="P55" s="233">
        <v>2100</v>
      </c>
      <c r="Q55" s="234">
        <v>45761</v>
      </c>
      <c r="R55" s="235"/>
      <c r="S55" s="233"/>
      <c r="T55" s="233"/>
      <c r="U55" s="316"/>
      <c r="V55" s="339"/>
      <c r="W55" s="304"/>
      <c r="X55" s="2">
        <v>26</v>
      </c>
    </row>
    <row r="56" spans="1:24" s="2" customFormat="1" x14ac:dyDescent="0.3">
      <c r="A56" s="326"/>
      <c r="B56" s="307"/>
      <c r="C56" s="307"/>
      <c r="D56" s="307"/>
      <c r="E56" s="307"/>
      <c r="F56" s="313"/>
      <c r="G56" s="342"/>
      <c r="H56" s="316"/>
      <c r="I56" s="319"/>
      <c r="J56" s="333"/>
      <c r="K56" s="336"/>
      <c r="L56" s="307"/>
      <c r="M56" s="307"/>
      <c r="N56" s="240">
        <v>45747</v>
      </c>
      <c r="O56" s="313"/>
      <c r="P56" s="233">
        <v>14461.85</v>
      </c>
      <c r="Q56" s="234">
        <v>45761</v>
      </c>
      <c r="R56" s="235"/>
      <c r="S56" s="233"/>
      <c r="T56" s="233"/>
      <c r="U56" s="316"/>
      <c r="V56" s="339"/>
      <c r="W56" s="304"/>
      <c r="X56" s="2">
        <v>26</v>
      </c>
    </row>
    <row r="57" spans="1:24" s="2" customFormat="1" x14ac:dyDescent="0.3">
      <c r="A57" s="326"/>
      <c r="B57" s="307"/>
      <c r="C57" s="307"/>
      <c r="D57" s="307"/>
      <c r="E57" s="307"/>
      <c r="F57" s="313"/>
      <c r="G57" s="342"/>
      <c r="H57" s="316"/>
      <c r="I57" s="319"/>
      <c r="J57" s="333"/>
      <c r="K57" s="336"/>
      <c r="L57" s="307"/>
      <c r="M57" s="307"/>
      <c r="N57" s="240">
        <v>45747</v>
      </c>
      <c r="O57" s="313"/>
      <c r="P57" s="233">
        <v>11832.55</v>
      </c>
      <c r="Q57" s="234">
        <v>45761</v>
      </c>
      <c r="R57" s="235"/>
      <c r="S57" s="233"/>
      <c r="T57" s="233"/>
      <c r="U57" s="316"/>
      <c r="V57" s="339"/>
      <c r="W57" s="304"/>
      <c r="X57" s="2">
        <v>26</v>
      </c>
    </row>
    <row r="58" spans="1:24" s="2" customFormat="1" x14ac:dyDescent="0.3">
      <c r="A58" s="322"/>
      <c r="B58" s="308"/>
      <c r="C58" s="308"/>
      <c r="D58" s="308"/>
      <c r="E58" s="308"/>
      <c r="F58" s="314"/>
      <c r="G58" s="343"/>
      <c r="H58" s="317"/>
      <c r="I58" s="320"/>
      <c r="J58" s="334"/>
      <c r="K58" s="337"/>
      <c r="L58" s="308"/>
      <c r="M58" s="308"/>
      <c r="N58" s="240">
        <v>45747</v>
      </c>
      <c r="O58" s="314"/>
      <c r="P58" s="236">
        <v>8855</v>
      </c>
      <c r="Q58" s="234">
        <v>45761</v>
      </c>
      <c r="R58" s="238"/>
      <c r="S58" s="236"/>
      <c r="T58" s="236"/>
      <c r="U58" s="317"/>
      <c r="V58" s="340"/>
      <c r="W58" s="305"/>
      <c r="X58" s="2">
        <v>26</v>
      </c>
    </row>
    <row r="59" spans="1:24" s="106" customFormat="1" ht="90" customHeight="1" x14ac:dyDescent="0.3">
      <c r="A59" s="321">
        <v>10</v>
      </c>
      <c r="B59" s="306" t="s">
        <v>56</v>
      </c>
      <c r="C59" s="306" t="s">
        <v>146</v>
      </c>
      <c r="D59" s="306" t="s">
        <v>147</v>
      </c>
      <c r="E59" s="306" t="s">
        <v>113</v>
      </c>
      <c r="F59" s="312">
        <v>45654</v>
      </c>
      <c r="G59" s="341" t="s">
        <v>198</v>
      </c>
      <c r="H59" s="315">
        <v>488488</v>
      </c>
      <c r="I59" s="318">
        <f>IF(X59 = 27, H59 + SUM(S59:S61) - SUM(T59:T61) - SUM(P59:P61) - V59,0)</f>
        <v>106876</v>
      </c>
      <c r="J59" s="332">
        <v>2353020735</v>
      </c>
      <c r="K59" s="335" t="s">
        <v>156</v>
      </c>
      <c r="L59" s="306" t="s">
        <v>146</v>
      </c>
      <c r="M59" s="306"/>
      <c r="N59" s="239">
        <v>45688</v>
      </c>
      <c r="O59" s="312" t="s">
        <v>164</v>
      </c>
      <c r="P59" s="230">
        <v>123508</v>
      </c>
      <c r="Q59" s="231">
        <v>45706</v>
      </c>
      <c r="R59" s="232"/>
      <c r="S59" s="230"/>
      <c r="T59" s="230"/>
      <c r="U59" s="315"/>
      <c r="V59" s="338"/>
      <c r="W59" s="303"/>
      <c r="X59" s="106">
        <v>27</v>
      </c>
    </row>
    <row r="60" spans="1:24" s="2" customFormat="1" x14ac:dyDescent="0.3">
      <c r="A60" s="326"/>
      <c r="B60" s="307"/>
      <c r="C60" s="307"/>
      <c r="D60" s="307"/>
      <c r="E60" s="307"/>
      <c r="F60" s="313"/>
      <c r="G60" s="342"/>
      <c r="H60" s="316"/>
      <c r="I60" s="319"/>
      <c r="J60" s="333"/>
      <c r="K60" s="336"/>
      <c r="L60" s="307"/>
      <c r="M60" s="307"/>
      <c r="N60" s="240">
        <v>45716</v>
      </c>
      <c r="O60" s="313"/>
      <c r="P60" s="233">
        <v>135212</v>
      </c>
      <c r="Q60" s="234">
        <v>45730</v>
      </c>
      <c r="R60" s="235"/>
      <c r="S60" s="233"/>
      <c r="T60" s="233"/>
      <c r="U60" s="316"/>
      <c r="V60" s="339"/>
      <c r="W60" s="304"/>
      <c r="X60" s="2">
        <v>27</v>
      </c>
    </row>
    <row r="61" spans="1:24" s="2" customFormat="1" x14ac:dyDescent="0.3">
      <c r="A61" s="322"/>
      <c r="B61" s="308"/>
      <c r="C61" s="308"/>
      <c r="D61" s="308"/>
      <c r="E61" s="308"/>
      <c r="F61" s="314"/>
      <c r="G61" s="343"/>
      <c r="H61" s="317"/>
      <c r="I61" s="320"/>
      <c r="J61" s="334"/>
      <c r="K61" s="337"/>
      <c r="L61" s="308"/>
      <c r="M61" s="308"/>
      <c r="N61" s="241">
        <v>45747</v>
      </c>
      <c r="O61" s="314"/>
      <c r="P61" s="236">
        <v>122892</v>
      </c>
      <c r="Q61" s="237">
        <v>45761</v>
      </c>
      <c r="R61" s="238"/>
      <c r="S61" s="236"/>
      <c r="T61" s="236"/>
      <c r="U61" s="317"/>
      <c r="V61" s="340"/>
      <c r="W61" s="305"/>
      <c r="X61" s="2">
        <v>27</v>
      </c>
    </row>
    <row r="62" spans="1:24" s="106" customFormat="1" ht="162" customHeight="1" x14ac:dyDescent="0.3">
      <c r="A62" s="321">
        <v>11</v>
      </c>
      <c r="B62" s="306" t="s">
        <v>56</v>
      </c>
      <c r="C62" s="306" t="s">
        <v>146</v>
      </c>
      <c r="D62" s="306" t="s">
        <v>147</v>
      </c>
      <c r="E62" s="306" t="s">
        <v>202</v>
      </c>
      <c r="F62" s="312">
        <v>45677</v>
      </c>
      <c r="G62" s="341" t="s">
        <v>190</v>
      </c>
      <c r="H62" s="315">
        <v>246840</v>
      </c>
      <c r="I62" s="318">
        <f>IF(X62 = 28, H62 + SUM(S62:S70) - SUM(T62:T70) - SUM(P62:P70) - V62,0)</f>
        <v>204820</v>
      </c>
      <c r="J62" s="332">
        <v>235305769122</v>
      </c>
      <c r="K62" s="335" t="s">
        <v>159</v>
      </c>
      <c r="L62" s="306" t="s">
        <v>146</v>
      </c>
      <c r="M62" s="306"/>
      <c r="N62" s="239">
        <v>45688</v>
      </c>
      <c r="O62" s="312" t="s">
        <v>183</v>
      </c>
      <c r="P62" s="230">
        <v>8680</v>
      </c>
      <c r="Q62" s="231">
        <v>45702</v>
      </c>
      <c r="R62" s="232"/>
      <c r="S62" s="230"/>
      <c r="T62" s="230"/>
      <c r="U62" s="315"/>
      <c r="V62" s="338"/>
      <c r="W62" s="303"/>
      <c r="X62" s="106">
        <v>28</v>
      </c>
    </row>
    <row r="63" spans="1:24" s="2" customFormat="1" x14ac:dyDescent="0.3">
      <c r="A63" s="326"/>
      <c r="B63" s="307"/>
      <c r="C63" s="307"/>
      <c r="D63" s="307"/>
      <c r="E63" s="307"/>
      <c r="F63" s="313"/>
      <c r="G63" s="342"/>
      <c r="H63" s="316"/>
      <c r="I63" s="319"/>
      <c r="J63" s="333"/>
      <c r="K63" s="336"/>
      <c r="L63" s="307"/>
      <c r="M63" s="307"/>
      <c r="N63" s="240">
        <v>45688</v>
      </c>
      <c r="O63" s="313"/>
      <c r="P63" s="233">
        <v>2890</v>
      </c>
      <c r="Q63" s="234">
        <v>45702</v>
      </c>
      <c r="R63" s="235"/>
      <c r="S63" s="233"/>
      <c r="T63" s="233"/>
      <c r="U63" s="316"/>
      <c r="V63" s="339"/>
      <c r="W63" s="304"/>
      <c r="X63" s="2">
        <v>28</v>
      </c>
    </row>
    <row r="64" spans="1:24" s="2" customFormat="1" x14ac:dyDescent="0.3">
      <c r="A64" s="326"/>
      <c r="B64" s="307"/>
      <c r="C64" s="307"/>
      <c r="D64" s="307"/>
      <c r="E64" s="307"/>
      <c r="F64" s="313"/>
      <c r="G64" s="342"/>
      <c r="H64" s="316"/>
      <c r="I64" s="319"/>
      <c r="J64" s="333"/>
      <c r="K64" s="336"/>
      <c r="L64" s="307"/>
      <c r="M64" s="307"/>
      <c r="N64" s="240">
        <v>45688</v>
      </c>
      <c r="O64" s="313"/>
      <c r="P64" s="233">
        <v>2550</v>
      </c>
      <c r="Q64" s="234">
        <v>45702</v>
      </c>
      <c r="R64" s="235"/>
      <c r="S64" s="233"/>
      <c r="T64" s="233"/>
      <c r="U64" s="316"/>
      <c r="V64" s="339"/>
      <c r="W64" s="304"/>
      <c r="X64" s="2">
        <v>28</v>
      </c>
    </row>
    <row r="65" spans="1:24" s="2" customFormat="1" x14ac:dyDescent="0.3">
      <c r="A65" s="326"/>
      <c r="B65" s="307"/>
      <c r="C65" s="307"/>
      <c r="D65" s="307"/>
      <c r="E65" s="307"/>
      <c r="F65" s="313"/>
      <c r="G65" s="342"/>
      <c r="H65" s="316"/>
      <c r="I65" s="319"/>
      <c r="J65" s="333"/>
      <c r="K65" s="336"/>
      <c r="L65" s="307"/>
      <c r="M65" s="307"/>
      <c r="N65" s="240">
        <v>45716</v>
      </c>
      <c r="O65" s="313"/>
      <c r="P65" s="233">
        <v>3000</v>
      </c>
      <c r="Q65" s="234">
        <v>45727</v>
      </c>
      <c r="R65" s="235"/>
      <c r="S65" s="233"/>
      <c r="T65" s="233"/>
      <c r="U65" s="316"/>
      <c r="V65" s="339"/>
      <c r="W65" s="304"/>
      <c r="X65" s="2">
        <v>28</v>
      </c>
    </row>
    <row r="66" spans="1:24" s="2" customFormat="1" x14ac:dyDescent="0.3">
      <c r="A66" s="326"/>
      <c r="B66" s="307"/>
      <c r="C66" s="307"/>
      <c r="D66" s="307"/>
      <c r="E66" s="307"/>
      <c r="F66" s="313"/>
      <c r="G66" s="342"/>
      <c r="H66" s="316"/>
      <c r="I66" s="319"/>
      <c r="J66" s="333"/>
      <c r="K66" s="336"/>
      <c r="L66" s="307"/>
      <c r="M66" s="307"/>
      <c r="N66" s="240">
        <v>45716</v>
      </c>
      <c r="O66" s="313"/>
      <c r="P66" s="233">
        <v>7840</v>
      </c>
      <c r="Q66" s="234">
        <v>45727</v>
      </c>
      <c r="R66" s="235"/>
      <c r="S66" s="233"/>
      <c r="T66" s="233"/>
      <c r="U66" s="316"/>
      <c r="V66" s="339"/>
      <c r="W66" s="304"/>
      <c r="X66" s="2">
        <v>28</v>
      </c>
    </row>
    <row r="67" spans="1:24" s="2" customFormat="1" x14ac:dyDescent="0.3">
      <c r="A67" s="326"/>
      <c r="B67" s="307"/>
      <c r="C67" s="307"/>
      <c r="D67" s="307"/>
      <c r="E67" s="307"/>
      <c r="F67" s="313"/>
      <c r="G67" s="342"/>
      <c r="H67" s="316"/>
      <c r="I67" s="319"/>
      <c r="J67" s="333"/>
      <c r="K67" s="336"/>
      <c r="L67" s="307"/>
      <c r="M67" s="307"/>
      <c r="N67" s="240">
        <v>45716</v>
      </c>
      <c r="O67" s="313"/>
      <c r="P67" s="233">
        <v>3400</v>
      </c>
      <c r="Q67" s="234">
        <v>45727</v>
      </c>
      <c r="R67" s="235"/>
      <c r="S67" s="233"/>
      <c r="T67" s="233"/>
      <c r="U67" s="316"/>
      <c r="V67" s="339"/>
      <c r="W67" s="304"/>
      <c r="X67" s="2">
        <v>28</v>
      </c>
    </row>
    <row r="68" spans="1:24" s="2" customFormat="1" x14ac:dyDescent="0.3">
      <c r="A68" s="326"/>
      <c r="B68" s="307"/>
      <c r="C68" s="307"/>
      <c r="D68" s="307"/>
      <c r="E68" s="307"/>
      <c r="F68" s="313"/>
      <c r="G68" s="342"/>
      <c r="H68" s="316"/>
      <c r="I68" s="319"/>
      <c r="J68" s="333"/>
      <c r="K68" s="336"/>
      <c r="L68" s="307"/>
      <c r="M68" s="307"/>
      <c r="N68" s="240">
        <v>45747</v>
      </c>
      <c r="O68" s="313"/>
      <c r="P68" s="233">
        <v>2400</v>
      </c>
      <c r="Q68" s="234">
        <v>45755</v>
      </c>
      <c r="R68" s="235"/>
      <c r="S68" s="233"/>
      <c r="T68" s="233"/>
      <c r="U68" s="316"/>
      <c r="V68" s="339"/>
      <c r="W68" s="304"/>
      <c r="X68" s="2">
        <v>28</v>
      </c>
    </row>
    <row r="69" spans="1:24" s="2" customFormat="1" x14ac:dyDescent="0.3">
      <c r="A69" s="326"/>
      <c r="B69" s="307"/>
      <c r="C69" s="307"/>
      <c r="D69" s="307"/>
      <c r="E69" s="307"/>
      <c r="F69" s="313"/>
      <c r="G69" s="342"/>
      <c r="H69" s="316"/>
      <c r="I69" s="319"/>
      <c r="J69" s="333"/>
      <c r="K69" s="336"/>
      <c r="L69" s="307"/>
      <c r="M69" s="307"/>
      <c r="N69" s="240">
        <v>45747</v>
      </c>
      <c r="O69" s="313"/>
      <c r="P69" s="233">
        <v>2720</v>
      </c>
      <c r="Q69" s="234">
        <v>45755</v>
      </c>
      <c r="R69" s="235"/>
      <c r="S69" s="233"/>
      <c r="T69" s="233"/>
      <c r="U69" s="316"/>
      <c r="V69" s="339"/>
      <c r="W69" s="304"/>
      <c r="X69" s="2">
        <v>28</v>
      </c>
    </row>
    <row r="70" spans="1:24" s="2" customFormat="1" x14ac:dyDescent="0.3">
      <c r="A70" s="322"/>
      <c r="B70" s="308"/>
      <c r="C70" s="308"/>
      <c r="D70" s="308"/>
      <c r="E70" s="308"/>
      <c r="F70" s="314"/>
      <c r="G70" s="343"/>
      <c r="H70" s="317"/>
      <c r="I70" s="320"/>
      <c r="J70" s="334"/>
      <c r="K70" s="337"/>
      <c r="L70" s="308"/>
      <c r="M70" s="308"/>
      <c r="N70" s="241">
        <v>45747</v>
      </c>
      <c r="O70" s="314"/>
      <c r="P70" s="236">
        <v>8540</v>
      </c>
      <c r="Q70" s="237">
        <v>45755</v>
      </c>
      <c r="R70" s="238"/>
      <c r="S70" s="236"/>
      <c r="T70" s="236"/>
      <c r="U70" s="317"/>
      <c r="V70" s="340"/>
      <c r="W70" s="305"/>
      <c r="X70" s="2">
        <v>28</v>
      </c>
    </row>
    <row r="71" spans="1:24" s="106" customFormat="1" ht="131.25" customHeight="1" x14ac:dyDescent="0.3">
      <c r="A71" s="321">
        <v>12</v>
      </c>
      <c r="B71" s="306" t="s">
        <v>56</v>
      </c>
      <c r="C71" s="306" t="s">
        <v>146</v>
      </c>
      <c r="D71" s="306" t="s">
        <v>147</v>
      </c>
      <c r="E71" s="306" t="s">
        <v>203</v>
      </c>
      <c r="F71" s="312">
        <v>45654</v>
      </c>
      <c r="G71" s="341" t="s">
        <v>173</v>
      </c>
      <c r="H71" s="315">
        <v>27331.200000000001</v>
      </c>
      <c r="I71" s="318">
        <f>IF(X71 = 29, H71 + SUM(S71:S74) - SUM(T71:T74) - SUM(P71:P74) - V71,0)</f>
        <v>18220.800000000003</v>
      </c>
      <c r="J71" s="332">
        <v>2310163739</v>
      </c>
      <c r="K71" s="335" t="s">
        <v>174</v>
      </c>
      <c r="L71" s="306" t="s">
        <v>146</v>
      </c>
      <c r="M71" s="306"/>
      <c r="N71" s="239">
        <v>45688</v>
      </c>
      <c r="O71" s="312" t="s">
        <v>183</v>
      </c>
      <c r="P71" s="230">
        <v>2277.6</v>
      </c>
      <c r="Q71" s="231">
        <v>45716</v>
      </c>
      <c r="R71" s="232"/>
      <c r="S71" s="230"/>
      <c r="T71" s="230"/>
      <c r="U71" s="315"/>
      <c r="V71" s="338"/>
      <c r="W71" s="303"/>
      <c r="X71" s="106">
        <v>29</v>
      </c>
    </row>
    <row r="72" spans="1:24" s="2" customFormat="1" x14ac:dyDescent="0.3">
      <c r="A72" s="326"/>
      <c r="B72" s="307"/>
      <c r="C72" s="307"/>
      <c r="D72" s="307"/>
      <c r="E72" s="307"/>
      <c r="F72" s="313"/>
      <c r="G72" s="342"/>
      <c r="H72" s="316"/>
      <c r="I72" s="319"/>
      <c r="J72" s="333"/>
      <c r="K72" s="336"/>
      <c r="L72" s="307"/>
      <c r="M72" s="307"/>
      <c r="N72" s="240">
        <v>45716</v>
      </c>
      <c r="O72" s="313"/>
      <c r="P72" s="233">
        <v>2277.6</v>
      </c>
      <c r="Q72" s="234">
        <v>45716</v>
      </c>
      <c r="R72" s="235"/>
      <c r="S72" s="233"/>
      <c r="T72" s="233"/>
      <c r="U72" s="316"/>
      <c r="V72" s="339"/>
      <c r="W72" s="304"/>
      <c r="X72" s="2">
        <v>29</v>
      </c>
    </row>
    <row r="73" spans="1:24" s="2" customFormat="1" x14ac:dyDescent="0.3">
      <c r="A73" s="326"/>
      <c r="B73" s="307"/>
      <c r="C73" s="307"/>
      <c r="D73" s="307"/>
      <c r="E73" s="307"/>
      <c r="F73" s="313"/>
      <c r="G73" s="342"/>
      <c r="H73" s="316"/>
      <c r="I73" s="319"/>
      <c r="J73" s="333"/>
      <c r="K73" s="336"/>
      <c r="L73" s="307"/>
      <c r="M73" s="307"/>
      <c r="N73" s="240">
        <v>45747</v>
      </c>
      <c r="O73" s="313"/>
      <c r="P73" s="233">
        <v>2277.6</v>
      </c>
      <c r="Q73" s="234">
        <v>45748</v>
      </c>
      <c r="R73" s="235"/>
      <c r="S73" s="233"/>
      <c r="T73" s="233"/>
      <c r="U73" s="316"/>
      <c r="V73" s="339"/>
      <c r="W73" s="304"/>
      <c r="X73" s="2">
        <v>29</v>
      </c>
    </row>
    <row r="74" spans="1:24" s="2" customFormat="1" x14ac:dyDescent="0.3">
      <c r="A74" s="322"/>
      <c r="B74" s="308"/>
      <c r="C74" s="308"/>
      <c r="D74" s="308"/>
      <c r="E74" s="308"/>
      <c r="F74" s="314"/>
      <c r="G74" s="343"/>
      <c r="H74" s="317"/>
      <c r="I74" s="320"/>
      <c r="J74" s="334"/>
      <c r="K74" s="337"/>
      <c r="L74" s="308"/>
      <c r="M74" s="308"/>
      <c r="N74" s="241">
        <v>45777</v>
      </c>
      <c r="O74" s="314"/>
      <c r="P74" s="236">
        <v>2277.6</v>
      </c>
      <c r="Q74" s="237">
        <v>45777</v>
      </c>
      <c r="R74" s="238"/>
      <c r="S74" s="236"/>
      <c r="T74" s="236"/>
      <c r="U74" s="317"/>
      <c r="V74" s="340"/>
      <c r="W74" s="305"/>
      <c r="X74" s="2">
        <v>29</v>
      </c>
    </row>
    <row r="75" spans="1:24" s="106" customFormat="1" ht="90" customHeight="1" x14ac:dyDescent="0.3">
      <c r="A75" s="321">
        <v>13</v>
      </c>
      <c r="B75" s="306" t="s">
        <v>56</v>
      </c>
      <c r="C75" s="306" t="s">
        <v>146</v>
      </c>
      <c r="D75" s="306" t="s">
        <v>147</v>
      </c>
      <c r="E75" s="306" t="s">
        <v>113</v>
      </c>
      <c r="F75" s="312">
        <v>45677</v>
      </c>
      <c r="G75" s="341" t="s">
        <v>204</v>
      </c>
      <c r="H75" s="315">
        <v>18000</v>
      </c>
      <c r="I75" s="318">
        <f>IF(X75 = 30, H75 + SUM(S75:S78) - SUM(T75:T78) - SUM(P75:P78) - V75,0)</f>
        <v>12000</v>
      </c>
      <c r="J75" s="332">
        <v>231107998282</v>
      </c>
      <c r="K75" s="335" t="s">
        <v>187</v>
      </c>
      <c r="L75" s="306" t="s">
        <v>146</v>
      </c>
      <c r="M75" s="306"/>
      <c r="N75" s="239">
        <v>45688</v>
      </c>
      <c r="O75" s="312" t="s">
        <v>183</v>
      </c>
      <c r="P75" s="230">
        <v>1500</v>
      </c>
      <c r="Q75" s="231">
        <v>45693</v>
      </c>
      <c r="R75" s="232"/>
      <c r="S75" s="230"/>
      <c r="T75" s="230"/>
      <c r="U75" s="315"/>
      <c r="V75" s="338"/>
      <c r="W75" s="303"/>
      <c r="X75" s="106">
        <v>30</v>
      </c>
    </row>
    <row r="76" spans="1:24" s="2" customFormat="1" x14ac:dyDescent="0.3">
      <c r="A76" s="326"/>
      <c r="B76" s="307"/>
      <c r="C76" s="307"/>
      <c r="D76" s="307"/>
      <c r="E76" s="307"/>
      <c r="F76" s="313"/>
      <c r="G76" s="342"/>
      <c r="H76" s="316"/>
      <c r="I76" s="319"/>
      <c r="J76" s="333"/>
      <c r="K76" s="336"/>
      <c r="L76" s="307"/>
      <c r="M76" s="307"/>
      <c r="N76" s="240">
        <v>45716</v>
      </c>
      <c r="O76" s="313"/>
      <c r="P76" s="233">
        <v>1500</v>
      </c>
      <c r="Q76" s="234">
        <v>45716</v>
      </c>
      <c r="R76" s="235"/>
      <c r="S76" s="233"/>
      <c r="T76" s="233"/>
      <c r="U76" s="316"/>
      <c r="V76" s="339"/>
      <c r="W76" s="304"/>
      <c r="X76" s="2">
        <v>30</v>
      </c>
    </row>
    <row r="77" spans="1:24" s="2" customFormat="1" x14ac:dyDescent="0.3">
      <c r="A77" s="326"/>
      <c r="B77" s="307"/>
      <c r="C77" s="307"/>
      <c r="D77" s="307"/>
      <c r="E77" s="307"/>
      <c r="F77" s="313"/>
      <c r="G77" s="342"/>
      <c r="H77" s="316"/>
      <c r="I77" s="319"/>
      <c r="J77" s="333"/>
      <c r="K77" s="336"/>
      <c r="L77" s="307"/>
      <c r="M77" s="307"/>
      <c r="N77" s="240">
        <v>45747</v>
      </c>
      <c r="O77" s="313"/>
      <c r="P77" s="233">
        <v>1500</v>
      </c>
      <c r="Q77" s="234">
        <v>45748</v>
      </c>
      <c r="R77" s="235"/>
      <c r="S77" s="233"/>
      <c r="T77" s="233"/>
      <c r="U77" s="316"/>
      <c r="V77" s="339"/>
      <c r="W77" s="304"/>
      <c r="X77" s="2">
        <v>30</v>
      </c>
    </row>
    <row r="78" spans="1:24" s="2" customFormat="1" x14ac:dyDescent="0.3">
      <c r="A78" s="322"/>
      <c r="B78" s="308"/>
      <c r="C78" s="308"/>
      <c r="D78" s="308"/>
      <c r="E78" s="308"/>
      <c r="F78" s="314"/>
      <c r="G78" s="343"/>
      <c r="H78" s="317"/>
      <c r="I78" s="320"/>
      <c r="J78" s="334"/>
      <c r="K78" s="337"/>
      <c r="L78" s="308"/>
      <c r="M78" s="308"/>
      <c r="N78" s="241">
        <v>45777</v>
      </c>
      <c r="O78" s="314"/>
      <c r="P78" s="236">
        <v>1500</v>
      </c>
      <c r="Q78" s="237">
        <v>45777</v>
      </c>
      <c r="R78" s="238"/>
      <c r="S78" s="236"/>
      <c r="T78" s="236"/>
      <c r="U78" s="317"/>
      <c r="V78" s="340"/>
      <c r="W78" s="305"/>
      <c r="X78" s="2">
        <v>30</v>
      </c>
    </row>
    <row r="79" spans="1:24" s="106" customFormat="1" ht="90" customHeight="1" x14ac:dyDescent="0.3">
      <c r="A79" s="321">
        <v>14</v>
      </c>
      <c r="B79" s="306" t="s">
        <v>56</v>
      </c>
      <c r="C79" s="306" t="s">
        <v>146</v>
      </c>
      <c r="D79" s="306" t="s">
        <v>147</v>
      </c>
      <c r="E79" s="306" t="s">
        <v>115</v>
      </c>
      <c r="F79" s="312">
        <v>45677</v>
      </c>
      <c r="G79" s="341" t="s">
        <v>205</v>
      </c>
      <c r="H79" s="315">
        <v>95004</v>
      </c>
      <c r="I79" s="318">
        <f>IF(X79 = 31, H79 + SUM(S79:S81) - SUM(T79:T81) - SUM(P79:P81) - V79,0)</f>
        <v>66240</v>
      </c>
      <c r="J79" s="332">
        <v>2353020735</v>
      </c>
      <c r="K79" s="335" t="s">
        <v>156</v>
      </c>
      <c r="L79" s="306" t="s">
        <v>146</v>
      </c>
      <c r="M79" s="306"/>
      <c r="N79" s="239">
        <v>45677</v>
      </c>
      <c r="O79" s="312" t="s">
        <v>183</v>
      </c>
      <c r="P79" s="230">
        <v>9639</v>
      </c>
      <c r="Q79" s="231">
        <v>45706</v>
      </c>
      <c r="R79" s="232"/>
      <c r="S79" s="230"/>
      <c r="T79" s="230"/>
      <c r="U79" s="315"/>
      <c r="V79" s="338"/>
      <c r="W79" s="303"/>
      <c r="X79" s="106">
        <v>31</v>
      </c>
    </row>
    <row r="80" spans="1:24" s="2" customFormat="1" x14ac:dyDescent="0.3">
      <c r="A80" s="326"/>
      <c r="B80" s="307"/>
      <c r="C80" s="307"/>
      <c r="D80" s="307"/>
      <c r="E80" s="307"/>
      <c r="F80" s="313"/>
      <c r="G80" s="342"/>
      <c r="H80" s="316"/>
      <c r="I80" s="319"/>
      <c r="J80" s="333"/>
      <c r="K80" s="336"/>
      <c r="L80" s="307"/>
      <c r="M80" s="307"/>
      <c r="N80" s="240">
        <v>45716</v>
      </c>
      <c r="O80" s="313"/>
      <c r="P80" s="233">
        <v>9909</v>
      </c>
      <c r="Q80" s="234">
        <v>45730</v>
      </c>
      <c r="R80" s="235"/>
      <c r="S80" s="233"/>
      <c r="T80" s="233"/>
      <c r="U80" s="316"/>
      <c r="V80" s="339"/>
      <c r="W80" s="304"/>
      <c r="X80" s="2">
        <v>31</v>
      </c>
    </row>
    <row r="81" spans="1:24" s="2" customFormat="1" x14ac:dyDescent="0.3">
      <c r="A81" s="322"/>
      <c r="B81" s="308"/>
      <c r="C81" s="308"/>
      <c r="D81" s="308"/>
      <c r="E81" s="308"/>
      <c r="F81" s="314"/>
      <c r="G81" s="343"/>
      <c r="H81" s="317"/>
      <c r="I81" s="320"/>
      <c r="J81" s="334"/>
      <c r="K81" s="337"/>
      <c r="L81" s="308"/>
      <c r="M81" s="308"/>
      <c r="N81" s="241">
        <v>45747</v>
      </c>
      <c r="O81" s="314"/>
      <c r="P81" s="236">
        <v>9216</v>
      </c>
      <c r="Q81" s="237">
        <v>45761</v>
      </c>
      <c r="R81" s="238"/>
      <c r="S81" s="236"/>
      <c r="T81" s="236"/>
      <c r="U81" s="317"/>
      <c r="V81" s="340"/>
      <c r="W81" s="305"/>
      <c r="X81" s="2">
        <v>31</v>
      </c>
    </row>
    <row r="82" spans="1:24" s="106" customFormat="1" ht="90" customHeight="1" x14ac:dyDescent="0.3">
      <c r="A82" s="321">
        <v>15</v>
      </c>
      <c r="B82" s="306" t="s">
        <v>56</v>
      </c>
      <c r="C82" s="306" t="s">
        <v>146</v>
      </c>
      <c r="D82" s="306" t="s">
        <v>147</v>
      </c>
      <c r="E82" s="306" t="s">
        <v>116</v>
      </c>
      <c r="F82" s="312">
        <v>45677</v>
      </c>
      <c r="G82" s="341" t="s">
        <v>205</v>
      </c>
      <c r="H82" s="315">
        <v>48048</v>
      </c>
      <c r="I82" s="318">
        <f>IF(X82 = 32, H82 + SUM(S82:S87) - SUM(T82:T87) - SUM(P82:P87) - V82,0)</f>
        <v>9394</v>
      </c>
      <c r="J82" s="332">
        <v>2353020735</v>
      </c>
      <c r="K82" s="335" t="s">
        <v>156</v>
      </c>
      <c r="L82" s="306" t="s">
        <v>146</v>
      </c>
      <c r="M82" s="306"/>
      <c r="N82" s="239">
        <v>45688</v>
      </c>
      <c r="O82" s="312" t="s">
        <v>183</v>
      </c>
      <c r="P82" s="230">
        <v>9240</v>
      </c>
      <c r="Q82" s="231">
        <v>45706</v>
      </c>
      <c r="R82" s="232"/>
      <c r="S82" s="230"/>
      <c r="T82" s="230"/>
      <c r="U82" s="315"/>
      <c r="V82" s="338"/>
      <c r="W82" s="303"/>
      <c r="X82" s="106">
        <v>32</v>
      </c>
    </row>
    <row r="83" spans="1:24" s="2" customFormat="1" x14ac:dyDescent="0.3">
      <c r="A83" s="326"/>
      <c r="B83" s="307"/>
      <c r="C83" s="307"/>
      <c r="D83" s="307"/>
      <c r="E83" s="307"/>
      <c r="F83" s="313"/>
      <c r="G83" s="342"/>
      <c r="H83" s="316"/>
      <c r="I83" s="319"/>
      <c r="J83" s="333"/>
      <c r="K83" s="336"/>
      <c r="L83" s="307"/>
      <c r="M83" s="307"/>
      <c r="N83" s="240">
        <v>45688</v>
      </c>
      <c r="O83" s="313"/>
      <c r="P83" s="233">
        <v>2310</v>
      </c>
      <c r="Q83" s="234">
        <v>45706</v>
      </c>
      <c r="R83" s="235"/>
      <c r="S83" s="233"/>
      <c r="T83" s="233"/>
      <c r="U83" s="316"/>
      <c r="V83" s="339"/>
      <c r="W83" s="304"/>
      <c r="X83" s="2">
        <v>32</v>
      </c>
    </row>
    <row r="84" spans="1:24" s="2" customFormat="1" x14ac:dyDescent="0.3">
      <c r="A84" s="326"/>
      <c r="B84" s="307"/>
      <c r="C84" s="307"/>
      <c r="D84" s="307"/>
      <c r="E84" s="307"/>
      <c r="F84" s="313"/>
      <c r="G84" s="342"/>
      <c r="H84" s="316"/>
      <c r="I84" s="319"/>
      <c r="J84" s="333"/>
      <c r="K84" s="336"/>
      <c r="L84" s="307"/>
      <c r="M84" s="307"/>
      <c r="N84" s="240">
        <v>45716</v>
      </c>
      <c r="O84" s="313"/>
      <c r="P84" s="233">
        <v>9979.2000000000007</v>
      </c>
      <c r="Q84" s="234">
        <v>45730</v>
      </c>
      <c r="R84" s="235"/>
      <c r="S84" s="233"/>
      <c r="T84" s="233"/>
      <c r="U84" s="316"/>
      <c r="V84" s="339"/>
      <c r="W84" s="304"/>
      <c r="X84" s="2">
        <v>32</v>
      </c>
    </row>
    <row r="85" spans="1:24" s="2" customFormat="1" x14ac:dyDescent="0.3">
      <c r="A85" s="326"/>
      <c r="B85" s="307"/>
      <c r="C85" s="307"/>
      <c r="D85" s="307"/>
      <c r="E85" s="307"/>
      <c r="F85" s="313"/>
      <c r="G85" s="342"/>
      <c r="H85" s="316"/>
      <c r="I85" s="319"/>
      <c r="J85" s="333"/>
      <c r="K85" s="336"/>
      <c r="L85" s="307"/>
      <c r="M85" s="307"/>
      <c r="N85" s="240">
        <v>45716</v>
      </c>
      <c r="O85" s="313"/>
      <c r="P85" s="233">
        <v>2494.8000000000002</v>
      </c>
      <c r="Q85" s="234">
        <v>45730</v>
      </c>
      <c r="R85" s="235"/>
      <c r="S85" s="233"/>
      <c r="T85" s="233"/>
      <c r="U85" s="316"/>
      <c r="V85" s="339"/>
      <c r="W85" s="304"/>
      <c r="X85" s="2">
        <v>32</v>
      </c>
    </row>
    <row r="86" spans="1:24" s="2" customFormat="1" x14ac:dyDescent="0.3">
      <c r="A86" s="326"/>
      <c r="B86" s="307"/>
      <c r="C86" s="307"/>
      <c r="D86" s="307"/>
      <c r="E86" s="307"/>
      <c r="F86" s="313"/>
      <c r="G86" s="342"/>
      <c r="H86" s="316"/>
      <c r="I86" s="319"/>
      <c r="J86" s="333"/>
      <c r="K86" s="336"/>
      <c r="L86" s="307"/>
      <c r="M86" s="307"/>
      <c r="N86" s="240">
        <v>45747</v>
      </c>
      <c r="O86" s="313"/>
      <c r="P86" s="233">
        <v>11704</v>
      </c>
      <c r="Q86" s="234">
        <v>45761</v>
      </c>
      <c r="R86" s="235"/>
      <c r="S86" s="233"/>
      <c r="T86" s="233"/>
      <c r="U86" s="316"/>
      <c r="V86" s="339"/>
      <c r="W86" s="304"/>
      <c r="X86" s="2">
        <v>32</v>
      </c>
    </row>
    <row r="87" spans="1:24" s="2" customFormat="1" x14ac:dyDescent="0.3">
      <c r="A87" s="322"/>
      <c r="B87" s="308"/>
      <c r="C87" s="308"/>
      <c r="D87" s="308"/>
      <c r="E87" s="308"/>
      <c r="F87" s="314"/>
      <c r="G87" s="343"/>
      <c r="H87" s="317"/>
      <c r="I87" s="320"/>
      <c r="J87" s="334"/>
      <c r="K87" s="337"/>
      <c r="L87" s="308"/>
      <c r="M87" s="308"/>
      <c r="N87" s="241">
        <v>45747</v>
      </c>
      <c r="O87" s="314"/>
      <c r="P87" s="236">
        <v>2926</v>
      </c>
      <c r="Q87" s="237">
        <v>45761</v>
      </c>
      <c r="R87" s="238"/>
      <c r="S87" s="236"/>
      <c r="T87" s="236"/>
      <c r="U87" s="317"/>
      <c r="V87" s="340"/>
      <c r="W87" s="305"/>
      <c r="X87" s="2">
        <v>32</v>
      </c>
    </row>
    <row r="88" spans="1:24" s="106" customFormat="1" ht="144" customHeight="1" x14ac:dyDescent="0.3">
      <c r="A88" s="399">
        <v>16</v>
      </c>
      <c r="B88" s="405" t="s">
        <v>56</v>
      </c>
      <c r="C88" s="405" t="s">
        <v>146</v>
      </c>
      <c r="D88" s="405" t="s">
        <v>147</v>
      </c>
      <c r="E88" s="405" t="s">
        <v>206</v>
      </c>
      <c r="F88" s="401">
        <v>45686</v>
      </c>
      <c r="G88" s="411" t="s">
        <v>207</v>
      </c>
      <c r="H88" s="403">
        <v>5640</v>
      </c>
      <c r="I88" s="413">
        <f>IF(X88 = 33, H88 + SUM(S88:S89) - SUM(T88:T89) - SUM(P88:P89) - V88,0)</f>
        <v>0</v>
      </c>
      <c r="J88" s="415">
        <v>6663003127</v>
      </c>
      <c r="K88" s="417" t="s">
        <v>208</v>
      </c>
      <c r="L88" s="405" t="s">
        <v>146</v>
      </c>
      <c r="M88" s="405"/>
      <c r="N88" s="175"/>
      <c r="O88" s="401" t="s">
        <v>209</v>
      </c>
      <c r="P88" s="169">
        <v>1692</v>
      </c>
      <c r="Q88" s="170">
        <v>45693</v>
      </c>
      <c r="R88" s="171"/>
      <c r="S88" s="169"/>
      <c r="T88" s="169"/>
      <c r="U88" s="403"/>
      <c r="V88" s="407"/>
      <c r="W88" s="409"/>
      <c r="X88" s="106">
        <v>33</v>
      </c>
    </row>
    <row r="89" spans="1:24" s="2" customFormat="1" x14ac:dyDescent="0.3">
      <c r="A89" s="400"/>
      <c r="B89" s="406"/>
      <c r="C89" s="406"/>
      <c r="D89" s="406"/>
      <c r="E89" s="406"/>
      <c r="F89" s="402"/>
      <c r="G89" s="412"/>
      <c r="H89" s="404"/>
      <c r="I89" s="414"/>
      <c r="J89" s="416"/>
      <c r="K89" s="418"/>
      <c r="L89" s="406"/>
      <c r="M89" s="406"/>
      <c r="N89" s="176">
        <v>45686</v>
      </c>
      <c r="O89" s="402"/>
      <c r="P89" s="172">
        <v>3948</v>
      </c>
      <c r="Q89" s="173">
        <v>45699</v>
      </c>
      <c r="R89" s="174"/>
      <c r="S89" s="172"/>
      <c r="T89" s="172"/>
      <c r="U89" s="404"/>
      <c r="V89" s="408"/>
      <c r="W89" s="410"/>
      <c r="X89" s="2">
        <v>33</v>
      </c>
    </row>
    <row r="90" spans="1:24" s="106" customFormat="1" ht="108" x14ac:dyDescent="0.3">
      <c r="A90" s="139">
        <v>17</v>
      </c>
      <c r="B90" s="140" t="s">
        <v>56</v>
      </c>
      <c r="C90" s="140" t="s">
        <v>146</v>
      </c>
      <c r="D90" s="140" t="s">
        <v>147</v>
      </c>
      <c r="E90" s="140" t="s">
        <v>130</v>
      </c>
      <c r="F90" s="150">
        <v>45686</v>
      </c>
      <c r="G90" s="143" t="s">
        <v>191</v>
      </c>
      <c r="H90" s="141">
        <v>30850</v>
      </c>
      <c r="I90" s="142">
        <f>IF(X90 = 34, H90 + SUM(S90:S90) - SUM(T90:T90) - SUM(P90:P90) - V90,0)</f>
        <v>0</v>
      </c>
      <c r="J90" s="147">
        <v>235303483777</v>
      </c>
      <c r="K90" s="148" t="s">
        <v>210</v>
      </c>
      <c r="L90" s="140" t="s">
        <v>146</v>
      </c>
      <c r="M90" s="140"/>
      <c r="N90" s="150">
        <v>45688</v>
      </c>
      <c r="O90" s="150" t="s">
        <v>183</v>
      </c>
      <c r="P90" s="141">
        <v>30850</v>
      </c>
      <c r="Q90" s="143">
        <v>45694</v>
      </c>
      <c r="R90" s="140"/>
      <c r="S90" s="141"/>
      <c r="T90" s="141"/>
      <c r="U90" s="141"/>
      <c r="V90" s="149"/>
      <c r="W90" s="146"/>
      <c r="X90" s="106">
        <v>34</v>
      </c>
    </row>
    <row r="91" spans="1:24" s="106" customFormat="1" ht="108" x14ac:dyDescent="0.3">
      <c r="A91" s="139">
        <v>18</v>
      </c>
      <c r="B91" s="140" t="s">
        <v>56</v>
      </c>
      <c r="C91" s="140" t="s">
        <v>146</v>
      </c>
      <c r="D91" s="140" t="s">
        <v>147</v>
      </c>
      <c r="E91" s="140" t="s">
        <v>219</v>
      </c>
      <c r="F91" s="161">
        <v>45708</v>
      </c>
      <c r="G91" s="143" t="s">
        <v>220</v>
      </c>
      <c r="H91" s="141">
        <v>88051.81</v>
      </c>
      <c r="I91" s="142">
        <f>IF(X91 = 35, H91 + SUM(S91:S91) - SUM(T91:T91) - SUM(P91:P91) - V91,0)</f>
        <v>88051.81</v>
      </c>
      <c r="J91" s="147">
        <v>7715995942</v>
      </c>
      <c r="K91" s="148" t="s">
        <v>221</v>
      </c>
      <c r="L91" s="140" t="s">
        <v>146</v>
      </c>
      <c r="M91" s="140"/>
      <c r="N91" s="161"/>
      <c r="O91" s="161" t="s">
        <v>183</v>
      </c>
      <c r="P91" s="141"/>
      <c r="Q91" s="143"/>
      <c r="R91" s="140"/>
      <c r="S91" s="141"/>
      <c r="T91" s="141"/>
      <c r="U91" s="141"/>
      <c r="V91" s="149"/>
      <c r="W91" s="159"/>
      <c r="X91" s="106">
        <v>35</v>
      </c>
    </row>
    <row r="92" spans="1:24" s="106" customFormat="1" ht="90" customHeight="1" x14ac:dyDescent="0.3">
      <c r="A92" s="426">
        <v>19</v>
      </c>
      <c r="B92" s="432" t="s">
        <v>56</v>
      </c>
      <c r="C92" s="432" t="s">
        <v>146</v>
      </c>
      <c r="D92" s="432" t="s">
        <v>147</v>
      </c>
      <c r="E92" s="432" t="s">
        <v>229</v>
      </c>
      <c r="F92" s="428">
        <v>45677</v>
      </c>
      <c r="G92" s="438" t="s">
        <v>230</v>
      </c>
      <c r="H92" s="430">
        <v>29510.04</v>
      </c>
      <c r="I92" s="440">
        <f>IF(X92 = 37, H92 + SUM(S92:S93) - SUM(T92:T93) - SUM(P92:P93) - V92,0)</f>
        <v>22132.53</v>
      </c>
      <c r="J92" s="442">
        <v>2353018870</v>
      </c>
      <c r="K92" s="444" t="s">
        <v>231</v>
      </c>
      <c r="L92" s="432" t="s">
        <v>146</v>
      </c>
      <c r="M92" s="432"/>
      <c r="N92" s="190">
        <v>45743</v>
      </c>
      <c r="O92" s="428" t="s">
        <v>183</v>
      </c>
      <c r="P92" s="191">
        <v>7377.51</v>
      </c>
      <c r="Q92" s="192">
        <v>45749</v>
      </c>
      <c r="R92" s="193"/>
      <c r="S92" s="191"/>
      <c r="T92" s="191"/>
      <c r="U92" s="430"/>
      <c r="V92" s="434"/>
      <c r="W92" s="436"/>
      <c r="X92" s="106">
        <v>37</v>
      </c>
    </row>
    <row r="93" spans="1:24" s="2" customFormat="1" x14ac:dyDescent="0.3">
      <c r="A93" s="427"/>
      <c r="B93" s="433"/>
      <c r="C93" s="433"/>
      <c r="D93" s="433"/>
      <c r="E93" s="433"/>
      <c r="F93" s="429"/>
      <c r="G93" s="439"/>
      <c r="H93" s="431"/>
      <c r="I93" s="441"/>
      <c r="J93" s="443"/>
      <c r="K93" s="445"/>
      <c r="L93" s="433"/>
      <c r="M93" s="433"/>
      <c r="N93" s="194"/>
      <c r="O93" s="429"/>
      <c r="P93" s="195"/>
      <c r="Q93" s="196"/>
      <c r="R93" s="197"/>
      <c r="S93" s="195"/>
      <c r="T93" s="195"/>
      <c r="U93" s="431"/>
      <c r="V93" s="435"/>
      <c r="W93" s="437"/>
      <c r="X93" s="2">
        <v>37</v>
      </c>
    </row>
    <row r="94" spans="1:24" s="106" customFormat="1" ht="108" x14ac:dyDescent="0.3">
      <c r="A94" s="179">
        <v>20</v>
      </c>
      <c r="B94" s="180" t="s">
        <v>56</v>
      </c>
      <c r="C94" s="180" t="s">
        <v>146</v>
      </c>
      <c r="D94" s="180" t="s">
        <v>147</v>
      </c>
      <c r="E94" s="180" t="s">
        <v>234</v>
      </c>
      <c r="F94" s="188">
        <v>45714</v>
      </c>
      <c r="G94" s="182" t="s">
        <v>236</v>
      </c>
      <c r="H94" s="183">
        <v>2625</v>
      </c>
      <c r="I94" s="184">
        <f>IF(X94 = 38, H94 + SUM(S94:S94) - SUM(T94:T94) - SUM(P94:P94) - V94,0)</f>
        <v>0</v>
      </c>
      <c r="J94" s="185">
        <v>7728499444</v>
      </c>
      <c r="K94" s="186" t="s">
        <v>235</v>
      </c>
      <c r="L94" s="180" t="s">
        <v>146</v>
      </c>
      <c r="M94" s="180"/>
      <c r="N94" s="188">
        <v>45714</v>
      </c>
      <c r="O94" s="188" t="s">
        <v>183</v>
      </c>
      <c r="P94" s="183">
        <v>2625</v>
      </c>
      <c r="Q94" s="182">
        <v>45736</v>
      </c>
      <c r="R94" s="180"/>
      <c r="S94" s="183"/>
      <c r="T94" s="183"/>
      <c r="U94" s="183"/>
      <c r="V94" s="187"/>
      <c r="W94" s="177"/>
      <c r="X94" s="106">
        <v>38</v>
      </c>
    </row>
    <row r="95" spans="1:24" s="106" customFormat="1" ht="108" x14ac:dyDescent="0.3">
      <c r="A95" s="179">
        <v>21</v>
      </c>
      <c r="B95" s="180" t="s">
        <v>56</v>
      </c>
      <c r="C95" s="180" t="s">
        <v>146</v>
      </c>
      <c r="D95" s="180" t="s">
        <v>147</v>
      </c>
      <c r="E95" s="180" t="s">
        <v>121</v>
      </c>
      <c r="F95" s="188">
        <v>45726</v>
      </c>
      <c r="G95" s="182" t="s">
        <v>237</v>
      </c>
      <c r="H95" s="183">
        <v>66800</v>
      </c>
      <c r="I95" s="184">
        <f>IF(X95 = 39, H95 + SUM(S95:S95) - SUM(T95:T95) - SUM(P95:P95) - V95,0)</f>
        <v>0</v>
      </c>
      <c r="J95" s="185">
        <v>235000239811</v>
      </c>
      <c r="K95" s="186" t="s">
        <v>238</v>
      </c>
      <c r="L95" s="180" t="s">
        <v>146</v>
      </c>
      <c r="M95" s="180"/>
      <c r="N95" s="188">
        <v>45726</v>
      </c>
      <c r="O95" s="188" t="s">
        <v>183</v>
      </c>
      <c r="P95" s="183">
        <v>66800</v>
      </c>
      <c r="Q95" s="182">
        <v>45727</v>
      </c>
      <c r="R95" s="180"/>
      <c r="S95" s="183"/>
      <c r="T95" s="183"/>
      <c r="U95" s="183"/>
      <c r="V95" s="187"/>
      <c r="W95" s="177"/>
      <c r="X95" s="106">
        <v>39</v>
      </c>
    </row>
    <row r="96" spans="1:24" s="106" customFormat="1" ht="108" x14ac:dyDescent="0.3">
      <c r="A96" s="179">
        <v>22</v>
      </c>
      <c r="B96" s="180" t="s">
        <v>56</v>
      </c>
      <c r="C96" s="180" t="s">
        <v>146</v>
      </c>
      <c r="D96" s="180" t="s">
        <v>147</v>
      </c>
      <c r="E96" s="180" t="s">
        <v>128</v>
      </c>
      <c r="F96" s="188">
        <v>45740</v>
      </c>
      <c r="G96" s="182" t="s">
        <v>245</v>
      </c>
      <c r="H96" s="183">
        <v>31370</v>
      </c>
      <c r="I96" s="184">
        <f>IF(X96 = 40, H96 + SUM(S96:S96) - SUM(T96:T96) - SUM(P96:P96) - V96,0)</f>
        <v>0</v>
      </c>
      <c r="J96" s="185">
        <v>231500102141</v>
      </c>
      <c r="K96" s="186" t="s">
        <v>246</v>
      </c>
      <c r="L96" s="180" t="s">
        <v>146</v>
      </c>
      <c r="M96" s="180"/>
      <c r="N96" s="188">
        <v>45740</v>
      </c>
      <c r="O96" s="188" t="s">
        <v>183</v>
      </c>
      <c r="P96" s="183">
        <v>31370</v>
      </c>
      <c r="Q96" s="182">
        <v>45741</v>
      </c>
      <c r="R96" s="180"/>
      <c r="S96" s="183"/>
      <c r="T96" s="183"/>
      <c r="U96" s="183"/>
      <c r="V96" s="187"/>
      <c r="W96" s="177"/>
      <c r="X96" s="106">
        <v>40</v>
      </c>
    </row>
    <row r="97" spans="1:24" s="106" customFormat="1" ht="108" x14ac:dyDescent="0.3">
      <c r="A97" s="179">
        <v>23</v>
      </c>
      <c r="B97" s="180" t="s">
        <v>56</v>
      </c>
      <c r="C97" s="180" t="s">
        <v>146</v>
      </c>
      <c r="D97" s="180" t="s">
        <v>147</v>
      </c>
      <c r="E97" s="180" t="s">
        <v>130</v>
      </c>
      <c r="F97" s="188">
        <v>45741</v>
      </c>
      <c r="G97" s="182" t="s">
        <v>191</v>
      </c>
      <c r="H97" s="183">
        <v>24340</v>
      </c>
      <c r="I97" s="184">
        <f>IF(X97 = 41, H97 + SUM(S97:S97) - SUM(T97:T97) - SUM(P97:P97) - V97,0)</f>
        <v>0</v>
      </c>
      <c r="J97" s="185">
        <v>235303483777</v>
      </c>
      <c r="K97" s="186" t="s">
        <v>210</v>
      </c>
      <c r="L97" s="180" t="s">
        <v>146</v>
      </c>
      <c r="M97" s="180"/>
      <c r="N97" s="188">
        <v>45743</v>
      </c>
      <c r="O97" s="188" t="s">
        <v>183</v>
      </c>
      <c r="P97" s="183">
        <v>24340</v>
      </c>
      <c r="Q97" s="182">
        <v>45748</v>
      </c>
      <c r="R97" s="180"/>
      <c r="S97" s="183"/>
      <c r="T97" s="183"/>
      <c r="U97" s="183"/>
      <c r="V97" s="187"/>
      <c r="W97" s="177"/>
      <c r="X97" s="106">
        <v>41</v>
      </c>
    </row>
    <row r="98" spans="1:24" s="106" customFormat="1" ht="108" x14ac:dyDescent="0.3">
      <c r="A98" s="214">
        <v>24</v>
      </c>
      <c r="B98" s="213" t="s">
        <v>56</v>
      </c>
      <c r="C98" s="213" t="s">
        <v>146</v>
      </c>
      <c r="D98" s="213" t="s">
        <v>147</v>
      </c>
      <c r="E98" s="213" t="s">
        <v>247</v>
      </c>
      <c r="F98" s="221">
        <v>45740</v>
      </c>
      <c r="G98" s="215" t="s">
        <v>248</v>
      </c>
      <c r="H98" s="216">
        <v>36000</v>
      </c>
      <c r="I98" s="217">
        <f>IF(X98 = 42, H98 + SUM(S98:S98) - SUM(T98:T98) - SUM(P98:P98) - V98,0)</f>
        <v>36000</v>
      </c>
      <c r="J98" s="218">
        <v>2353006498</v>
      </c>
      <c r="K98" s="219" t="s">
        <v>249</v>
      </c>
      <c r="L98" s="213" t="s">
        <v>146</v>
      </c>
      <c r="M98" s="213"/>
      <c r="N98" s="221"/>
      <c r="O98" s="221" t="s">
        <v>183</v>
      </c>
      <c r="P98" s="216"/>
      <c r="Q98" s="215"/>
      <c r="R98" s="213"/>
      <c r="S98" s="216"/>
      <c r="T98" s="216"/>
      <c r="U98" s="216"/>
      <c r="V98" s="220"/>
      <c r="W98" s="212"/>
      <c r="X98" s="106">
        <v>42</v>
      </c>
    </row>
    <row r="99" spans="1:24" s="106" customFormat="1" ht="108" x14ac:dyDescent="0.3">
      <c r="A99" s="214">
        <v>25</v>
      </c>
      <c r="B99" s="213" t="s">
        <v>56</v>
      </c>
      <c r="C99" s="213" t="s">
        <v>162</v>
      </c>
      <c r="D99" s="213" t="s">
        <v>147</v>
      </c>
      <c r="E99" s="213" t="s">
        <v>250</v>
      </c>
      <c r="F99" s="221">
        <v>45743</v>
      </c>
      <c r="G99" s="215" t="s">
        <v>163</v>
      </c>
      <c r="H99" s="216">
        <v>498100</v>
      </c>
      <c r="I99" s="217">
        <f>IF(X99 = 43, H99 + SUM(S99:S99) - SUM(T99:T99) - SUM(P99:P99) - V99,0)</f>
        <v>498100</v>
      </c>
      <c r="J99" s="218">
        <v>2310195709</v>
      </c>
      <c r="K99" s="219" t="s">
        <v>200</v>
      </c>
      <c r="L99" s="213" t="s">
        <v>146</v>
      </c>
      <c r="M99" s="213"/>
      <c r="N99" s="221"/>
      <c r="O99" s="221" t="s">
        <v>183</v>
      </c>
      <c r="P99" s="216"/>
      <c r="Q99" s="215"/>
      <c r="R99" s="213"/>
      <c r="S99" s="216"/>
      <c r="T99" s="216"/>
      <c r="U99" s="216"/>
      <c r="V99" s="220"/>
      <c r="W99" s="212"/>
      <c r="X99" s="106">
        <v>43</v>
      </c>
    </row>
    <row r="100" spans="1:24" s="106" customFormat="1" ht="108" x14ac:dyDescent="0.3">
      <c r="A100" s="214">
        <v>26</v>
      </c>
      <c r="B100" s="222" t="s">
        <v>56</v>
      </c>
      <c r="C100" s="222" t="s">
        <v>146</v>
      </c>
      <c r="D100" s="222" t="s">
        <v>147</v>
      </c>
      <c r="E100" s="222" t="s">
        <v>258</v>
      </c>
      <c r="F100" s="227">
        <v>45754</v>
      </c>
      <c r="G100" s="215" t="s">
        <v>259</v>
      </c>
      <c r="H100" s="216">
        <v>1297</v>
      </c>
      <c r="I100" s="217">
        <f>IF(X100 = 44, H100 + SUM(S100:S100) - SUM(T100:T100) - SUM(P100:P100) - V100,0)</f>
        <v>0</v>
      </c>
      <c r="J100" s="218">
        <v>2310132554</v>
      </c>
      <c r="K100" s="219" t="s">
        <v>260</v>
      </c>
      <c r="L100" s="222" t="s">
        <v>146</v>
      </c>
      <c r="M100" s="222"/>
      <c r="N100" s="227">
        <v>45770</v>
      </c>
      <c r="O100" s="227" t="s">
        <v>183</v>
      </c>
      <c r="P100" s="216">
        <v>1297</v>
      </c>
      <c r="Q100" s="215">
        <v>45777</v>
      </c>
      <c r="R100" s="222"/>
      <c r="S100" s="216"/>
      <c r="T100" s="216"/>
      <c r="U100" s="216"/>
      <c r="V100" s="220"/>
      <c r="W100" s="223"/>
      <c r="X100" s="106">
        <v>44</v>
      </c>
    </row>
    <row r="101" spans="1:24" x14ac:dyDescent="0.3">
      <c r="B101" s="107"/>
      <c r="X101" s="8">
        <v>45</v>
      </c>
    </row>
    <row r="102" spans="1:24" x14ac:dyDescent="0.3">
      <c r="B102" s="107"/>
    </row>
    <row r="103" spans="1:24" x14ac:dyDescent="0.3">
      <c r="B103" s="107"/>
    </row>
    <row r="104" spans="1:24" x14ac:dyDescent="0.3">
      <c r="B104" s="107"/>
      <c r="E104" s="45"/>
    </row>
  </sheetData>
  <sheetProtection password="EB34" sheet="1" objects="1" scenarios="1" formatCells="0" formatColumns="0" formatRows="0"/>
  <mergeCells count="275">
    <mergeCell ref="A92:A93"/>
    <mergeCell ref="O92:O93"/>
    <mergeCell ref="U92:U93"/>
    <mergeCell ref="B92:B93"/>
    <mergeCell ref="V92:V93"/>
    <mergeCell ref="C92:C93"/>
    <mergeCell ref="W92:W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A34:A38"/>
    <mergeCell ref="S2:U2"/>
    <mergeCell ref="F2:G2"/>
    <mergeCell ref="N2:O2"/>
    <mergeCell ref="U29:U33"/>
    <mergeCell ref="B29:B33"/>
    <mergeCell ref="C29:C33"/>
    <mergeCell ref="D29:D33"/>
    <mergeCell ref="E29:E33"/>
    <mergeCell ref="F29:F33"/>
    <mergeCell ref="G29:G33"/>
    <mergeCell ref="H29:H33"/>
    <mergeCell ref="I29:I33"/>
    <mergeCell ref="J29:J33"/>
    <mergeCell ref="K29:K33"/>
    <mergeCell ref="L29:L33"/>
    <mergeCell ref="M29:M33"/>
    <mergeCell ref="O34:O38"/>
    <mergeCell ref="U34:U38"/>
    <mergeCell ref="B34:B38"/>
    <mergeCell ref="C34:C38"/>
    <mergeCell ref="A88:A89"/>
    <mergeCell ref="O88:O89"/>
    <mergeCell ref="U88:U89"/>
    <mergeCell ref="B88:B89"/>
    <mergeCell ref="V88:V89"/>
    <mergeCell ref="C88:C89"/>
    <mergeCell ref="W88:W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A26:A28"/>
    <mergeCell ref="O26:O28"/>
    <mergeCell ref="U26:U28"/>
    <mergeCell ref="B26:B28"/>
    <mergeCell ref="V26:V28"/>
    <mergeCell ref="C26:C28"/>
    <mergeCell ref="W26:W28"/>
    <mergeCell ref="A29:A33"/>
    <mergeCell ref="O29:O33"/>
    <mergeCell ref="V29:V33"/>
    <mergeCell ref="W29:W33"/>
    <mergeCell ref="A16:A25"/>
    <mergeCell ref="O16:O25"/>
    <mergeCell ref="U16:U25"/>
    <mergeCell ref="B16:B25"/>
    <mergeCell ref="V16:V25"/>
    <mergeCell ref="C16:C25"/>
    <mergeCell ref="W71:W74"/>
    <mergeCell ref="M12:M15"/>
    <mergeCell ref="D12:D15"/>
    <mergeCell ref="E12:E15"/>
    <mergeCell ref="F12:F15"/>
    <mergeCell ref="G12:G15"/>
    <mergeCell ref="H12:H15"/>
    <mergeCell ref="I12:I15"/>
    <mergeCell ref="J12:J15"/>
    <mergeCell ref="K12:K15"/>
    <mergeCell ref="L12:L15"/>
    <mergeCell ref="A12:A15"/>
    <mergeCell ref="O12:O15"/>
    <mergeCell ref="U12:U15"/>
    <mergeCell ref="B12:B15"/>
    <mergeCell ref="V12:V15"/>
    <mergeCell ref="C12:C15"/>
    <mergeCell ref="W12:W15"/>
    <mergeCell ref="W16:W25"/>
    <mergeCell ref="D16:D25"/>
    <mergeCell ref="E16:E25"/>
    <mergeCell ref="F16:F25"/>
    <mergeCell ref="G16:G25"/>
    <mergeCell ref="H16:H25"/>
    <mergeCell ref="I16:I25"/>
    <mergeCell ref="J16:J25"/>
    <mergeCell ref="K16:K25"/>
    <mergeCell ref="L16:L25"/>
    <mergeCell ref="M16:M25"/>
    <mergeCell ref="J26:J28"/>
    <mergeCell ref="K26:K28"/>
    <mergeCell ref="L26:L28"/>
    <mergeCell ref="W75:W78"/>
    <mergeCell ref="D75:D78"/>
    <mergeCell ref="E75:E78"/>
    <mergeCell ref="F75:F78"/>
    <mergeCell ref="G75:G78"/>
    <mergeCell ref="H75:H78"/>
    <mergeCell ref="I75:I78"/>
    <mergeCell ref="D34:D38"/>
    <mergeCell ref="E34:E38"/>
    <mergeCell ref="F34:F38"/>
    <mergeCell ref="G34:G38"/>
    <mergeCell ref="H34:H38"/>
    <mergeCell ref="I34:I38"/>
    <mergeCell ref="J34:J38"/>
    <mergeCell ref="K34:K38"/>
    <mergeCell ref="L34:L38"/>
    <mergeCell ref="M34:M38"/>
    <mergeCell ref="W34:W38"/>
    <mergeCell ref="V34:V38"/>
    <mergeCell ref="M26:M28"/>
    <mergeCell ref="A9:A11"/>
    <mergeCell ref="O9:O11"/>
    <mergeCell ref="U9:U11"/>
    <mergeCell ref="B9:B11"/>
    <mergeCell ref="V9:V11"/>
    <mergeCell ref="C9:C11"/>
    <mergeCell ref="W9:W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D26:D28"/>
    <mergeCell ref="E26:E28"/>
    <mergeCell ref="F26:F28"/>
    <mergeCell ref="G26:G28"/>
    <mergeCell ref="H26:H28"/>
    <mergeCell ref="I26:I28"/>
    <mergeCell ref="A62:A70"/>
    <mergeCell ref="O62:O70"/>
    <mergeCell ref="U62:U70"/>
    <mergeCell ref="B62:B70"/>
    <mergeCell ref="V62:V70"/>
    <mergeCell ref="C62:C70"/>
    <mergeCell ref="W62:W70"/>
    <mergeCell ref="D62:D70"/>
    <mergeCell ref="E62:E70"/>
    <mergeCell ref="F62:F70"/>
    <mergeCell ref="G62:G70"/>
    <mergeCell ref="H62:H70"/>
    <mergeCell ref="I62:I70"/>
    <mergeCell ref="J62:J70"/>
    <mergeCell ref="K62:K70"/>
    <mergeCell ref="L62:L70"/>
    <mergeCell ref="M62:M70"/>
    <mergeCell ref="A44:A58"/>
    <mergeCell ref="O44:O58"/>
    <mergeCell ref="U44:U58"/>
    <mergeCell ref="B44:B58"/>
    <mergeCell ref="V44:V58"/>
    <mergeCell ref="C44:C58"/>
    <mergeCell ref="W44:W58"/>
    <mergeCell ref="D44:D58"/>
    <mergeCell ref="E44:E58"/>
    <mergeCell ref="F44:F58"/>
    <mergeCell ref="G44:G58"/>
    <mergeCell ref="H44:H58"/>
    <mergeCell ref="I44:I58"/>
    <mergeCell ref="J44:J58"/>
    <mergeCell ref="K44:K58"/>
    <mergeCell ref="L44:L58"/>
    <mergeCell ref="M44:M58"/>
    <mergeCell ref="A59:A61"/>
    <mergeCell ref="O59:O61"/>
    <mergeCell ref="U59:U61"/>
    <mergeCell ref="B59:B61"/>
    <mergeCell ref="V59:V61"/>
    <mergeCell ref="C59:C61"/>
    <mergeCell ref="W59:W61"/>
    <mergeCell ref="D59:D61"/>
    <mergeCell ref="E59:E61"/>
    <mergeCell ref="F59:F61"/>
    <mergeCell ref="G59:G61"/>
    <mergeCell ref="H59:H61"/>
    <mergeCell ref="I59:I61"/>
    <mergeCell ref="J59:J61"/>
    <mergeCell ref="K59:K61"/>
    <mergeCell ref="L59:L61"/>
    <mergeCell ref="M59:M61"/>
    <mergeCell ref="A82:A87"/>
    <mergeCell ref="O82:O87"/>
    <mergeCell ref="U82:U87"/>
    <mergeCell ref="B82:B87"/>
    <mergeCell ref="V82:V87"/>
    <mergeCell ref="C82:C87"/>
    <mergeCell ref="W82:W87"/>
    <mergeCell ref="A79:A81"/>
    <mergeCell ref="O79:O81"/>
    <mergeCell ref="U79:U81"/>
    <mergeCell ref="B79:B81"/>
    <mergeCell ref="V79:V81"/>
    <mergeCell ref="C79:C81"/>
    <mergeCell ref="W79:W81"/>
    <mergeCell ref="D79:D81"/>
    <mergeCell ref="E79:E81"/>
    <mergeCell ref="F79:F81"/>
    <mergeCell ref="G79:G81"/>
    <mergeCell ref="H79:H81"/>
    <mergeCell ref="I79:I81"/>
    <mergeCell ref="J79:J81"/>
    <mergeCell ref="K79:K81"/>
    <mergeCell ref="L79:L81"/>
    <mergeCell ref="M79:M81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A40:A43"/>
    <mergeCell ref="O40:O43"/>
    <mergeCell ref="U40:U43"/>
    <mergeCell ref="B40:B43"/>
    <mergeCell ref="V40:V43"/>
    <mergeCell ref="C40:C43"/>
    <mergeCell ref="W40:W43"/>
    <mergeCell ref="D40:D43"/>
    <mergeCell ref="E40:E43"/>
    <mergeCell ref="F40:F43"/>
    <mergeCell ref="G40:G43"/>
    <mergeCell ref="H40:H43"/>
    <mergeCell ref="I40:I43"/>
    <mergeCell ref="J40:J43"/>
    <mergeCell ref="K40:K43"/>
    <mergeCell ref="L40:L43"/>
    <mergeCell ref="M40:M43"/>
    <mergeCell ref="A75:A78"/>
    <mergeCell ref="O75:O78"/>
    <mergeCell ref="U75:U78"/>
    <mergeCell ref="B75:B78"/>
    <mergeCell ref="V75:V78"/>
    <mergeCell ref="C75:C78"/>
    <mergeCell ref="J75:J78"/>
    <mergeCell ref="K75:K78"/>
    <mergeCell ref="L75:L78"/>
    <mergeCell ref="M75:M78"/>
    <mergeCell ref="A71:A74"/>
    <mergeCell ref="O71:O74"/>
    <mergeCell ref="U71:U74"/>
    <mergeCell ref="B71:B74"/>
    <mergeCell ref="V71:V74"/>
    <mergeCell ref="C71:C74"/>
    <mergeCell ref="D71:D74"/>
    <mergeCell ref="E71:E74"/>
    <mergeCell ref="F71:F74"/>
    <mergeCell ref="G71:G74"/>
    <mergeCell ref="H71:H74"/>
    <mergeCell ref="I71:I74"/>
    <mergeCell ref="J71:J74"/>
    <mergeCell ref="K71:K74"/>
    <mergeCell ref="L71:L74"/>
    <mergeCell ref="M71:M7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3"/>
  <sheetViews>
    <sheetView showGridLines="0" zoomScale="70" zoomScaleNormal="70" workbookViewId="0">
      <pane ySplit="8" topLeftCell="A9" activePane="bottomLeft" state="frozen"/>
      <selection pane="bottomLeft" activeCell="L12" sqref="L12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422" t="s">
        <v>24</v>
      </c>
      <c r="F2" s="423"/>
      <c r="G2" s="98">
        <f>SUM(G9:G9999)</f>
        <v>2340353.5699999998</v>
      </c>
      <c r="L2" s="455" t="s">
        <v>137</v>
      </c>
      <c r="M2" s="456"/>
      <c r="N2" s="87">
        <f>SUM(N9:N9999)</f>
        <v>1501486.41</v>
      </c>
      <c r="P2" s="86"/>
      <c r="Q2" s="328" t="s">
        <v>45</v>
      </c>
      <c r="R2" s="329"/>
      <c r="S2" s="330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6" customFormat="1" ht="37.5" customHeight="1" x14ac:dyDescent="0.3">
      <c r="A9" s="466">
        <v>1</v>
      </c>
      <c r="B9" s="449"/>
      <c r="C9" s="449" t="s">
        <v>170</v>
      </c>
      <c r="D9" s="449" t="s">
        <v>152</v>
      </c>
      <c r="E9" s="469">
        <v>45654</v>
      </c>
      <c r="F9" s="463" t="s">
        <v>153</v>
      </c>
      <c r="G9" s="446">
        <v>1380000</v>
      </c>
      <c r="H9" s="457">
        <f>IF(V9 = 1, G9 + SUM(Q9:Q11) - SUM(R9:R11) - SUM(N9:N11) - T9,0)</f>
        <v>638985.6100000001</v>
      </c>
      <c r="I9" s="460">
        <v>2312054894</v>
      </c>
      <c r="J9" s="449" t="s">
        <v>154</v>
      </c>
      <c r="K9" s="449" t="s">
        <v>155</v>
      </c>
      <c r="L9" s="112">
        <v>45688</v>
      </c>
      <c r="M9" s="449" t="s">
        <v>151</v>
      </c>
      <c r="N9" s="108">
        <v>250889.21</v>
      </c>
      <c r="O9" s="112">
        <v>45706</v>
      </c>
      <c r="P9" s="109"/>
      <c r="Q9" s="108"/>
      <c r="R9" s="108"/>
      <c r="S9" s="463"/>
      <c r="T9" s="446"/>
      <c r="U9" s="452"/>
      <c r="V9" s="106">
        <v>1</v>
      </c>
    </row>
    <row r="10" spans="1:22" s="2" customFormat="1" x14ac:dyDescent="0.3">
      <c r="A10" s="467"/>
      <c r="B10" s="450"/>
      <c r="C10" s="450"/>
      <c r="D10" s="450"/>
      <c r="E10" s="470"/>
      <c r="F10" s="464"/>
      <c r="G10" s="447"/>
      <c r="H10" s="458"/>
      <c r="I10" s="461"/>
      <c r="J10" s="450"/>
      <c r="K10" s="450"/>
      <c r="L10" s="114">
        <v>45716</v>
      </c>
      <c r="M10" s="450"/>
      <c r="N10" s="115">
        <v>299048.48</v>
      </c>
      <c r="O10" s="114">
        <v>45734</v>
      </c>
      <c r="P10" s="116"/>
      <c r="Q10" s="115"/>
      <c r="R10" s="115"/>
      <c r="S10" s="464"/>
      <c r="T10" s="447"/>
      <c r="U10" s="453"/>
      <c r="V10" s="2">
        <v>1</v>
      </c>
    </row>
    <row r="11" spans="1:22" s="2" customFormat="1" x14ac:dyDescent="0.3">
      <c r="A11" s="468"/>
      <c r="B11" s="451"/>
      <c r="C11" s="451"/>
      <c r="D11" s="451"/>
      <c r="E11" s="471"/>
      <c r="F11" s="465"/>
      <c r="G11" s="448"/>
      <c r="H11" s="459"/>
      <c r="I11" s="462"/>
      <c r="J11" s="451"/>
      <c r="K11" s="451"/>
      <c r="L11" s="113">
        <v>45747</v>
      </c>
      <c r="M11" s="451"/>
      <c r="N11" s="110">
        <v>191076.7</v>
      </c>
      <c r="O11" s="113">
        <v>45761</v>
      </c>
      <c r="P11" s="111"/>
      <c r="Q11" s="110"/>
      <c r="R11" s="110"/>
      <c r="S11" s="465"/>
      <c r="T11" s="448"/>
      <c r="U11" s="454"/>
      <c r="V11" s="2">
        <v>1</v>
      </c>
    </row>
    <row r="12" spans="1:22" s="106" customFormat="1" ht="54" x14ac:dyDescent="0.3">
      <c r="A12" s="139">
        <v>2</v>
      </c>
      <c r="B12" s="140"/>
      <c r="C12" s="140" t="s">
        <v>147</v>
      </c>
      <c r="D12" s="140" t="s">
        <v>222</v>
      </c>
      <c r="E12" s="164">
        <v>45709</v>
      </c>
      <c r="F12" s="143" t="s">
        <v>223</v>
      </c>
      <c r="G12" s="141">
        <v>960353.57</v>
      </c>
      <c r="H12" s="142">
        <f>IF(V12 = 2, G12 + SUM(Q12:Q12) - SUM(R12:R12) - SUM(N12:N12) - T12,0)</f>
        <v>199881.54999999993</v>
      </c>
      <c r="I12" s="163">
        <v>7715995942</v>
      </c>
      <c r="J12" s="140" t="s">
        <v>221</v>
      </c>
      <c r="K12" s="140" t="s">
        <v>224</v>
      </c>
      <c r="L12" s="164">
        <v>45749</v>
      </c>
      <c r="M12" s="140" t="s">
        <v>225</v>
      </c>
      <c r="N12" s="141">
        <v>760472.02</v>
      </c>
      <c r="O12" s="164">
        <v>45777</v>
      </c>
      <c r="P12" s="143"/>
      <c r="Q12" s="141"/>
      <c r="R12" s="141"/>
      <c r="S12" s="143"/>
      <c r="T12" s="141"/>
      <c r="U12" s="160"/>
      <c r="V12" s="106">
        <v>2</v>
      </c>
    </row>
    <row r="13" spans="1:22" x14ac:dyDescent="0.3">
      <c r="V13" s="8">
        <v>3</v>
      </c>
    </row>
  </sheetData>
  <sheetProtection password="EB34" sheet="1" objects="1" scenarios="1" formatCells="0" formatColumns="0" formatRows="0"/>
  <mergeCells count="18">
    <mergeCell ref="A9:A11"/>
    <mergeCell ref="B9:B11"/>
    <mergeCell ref="D9:D11"/>
    <mergeCell ref="E9:E11"/>
    <mergeCell ref="F9:F11"/>
    <mergeCell ref="T9:T11"/>
    <mergeCell ref="C9:C11"/>
    <mergeCell ref="U9:U11"/>
    <mergeCell ref="Q2:S2"/>
    <mergeCell ref="E2:F2"/>
    <mergeCell ref="L2:M2"/>
    <mergeCell ref="G9:G11"/>
    <mergeCell ref="H9:H11"/>
    <mergeCell ref="I9:I11"/>
    <mergeCell ref="J9:J11"/>
    <mergeCell ref="K9:K11"/>
    <mergeCell ref="M9:M11"/>
    <mergeCell ref="S9:S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2"/>
  <sheetViews>
    <sheetView showGridLines="0" topLeftCell="O1" zoomScale="70" zoomScaleNormal="70" workbookViewId="0">
      <pane ySplit="8" topLeftCell="A10" activePane="bottomLeft" state="frozen"/>
      <selection pane="bottomLeft" activeCell="T12" sqref="T12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422" t="s">
        <v>139</v>
      </c>
      <c r="F2" s="423"/>
      <c r="G2" s="100">
        <f>SUM(G9:G10000)</f>
        <v>740880</v>
      </c>
      <c r="H2" s="15"/>
      <c r="O2" s="422" t="s">
        <v>24</v>
      </c>
      <c r="P2" s="423"/>
      <c r="Q2" s="98">
        <f>SUM(Q9:Q10000)</f>
        <v>674200.8</v>
      </c>
      <c r="T2" s="328" t="s">
        <v>137</v>
      </c>
      <c r="U2" s="330"/>
      <c r="V2" s="87">
        <f>SUM(V9:V10000)</f>
        <v>412776</v>
      </c>
      <c r="X2" s="86"/>
      <c r="Y2" s="328" t="s">
        <v>45</v>
      </c>
      <c r="Z2" s="329"/>
      <c r="AA2" s="330"/>
      <c r="AB2" s="88">
        <f>SUM(AB9:AB10000)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ht="16.95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44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6" customFormat="1" ht="144" customHeight="1" x14ac:dyDescent="0.3">
      <c r="A9" s="493">
        <v>1</v>
      </c>
      <c r="B9" s="475" t="s">
        <v>56</v>
      </c>
      <c r="C9" s="475" t="s">
        <v>195</v>
      </c>
      <c r="D9" s="475" t="s">
        <v>147</v>
      </c>
      <c r="E9" s="475" t="s">
        <v>197</v>
      </c>
      <c r="F9" s="475" t="s">
        <v>181</v>
      </c>
      <c r="G9" s="478">
        <v>740880</v>
      </c>
      <c r="H9" s="472">
        <f>IF(AD9 = 1, G9 - Q9,0)</f>
        <v>66679.199999999953</v>
      </c>
      <c r="I9" s="478">
        <v>2</v>
      </c>
      <c r="J9" s="478"/>
      <c r="K9" s="475" t="s">
        <v>162</v>
      </c>
      <c r="L9" s="475" t="s">
        <v>196</v>
      </c>
      <c r="M9" s="475" t="s">
        <v>180</v>
      </c>
      <c r="N9" s="484">
        <v>45283</v>
      </c>
      <c r="O9" s="487">
        <v>2304067057</v>
      </c>
      <c r="P9" s="490" t="s">
        <v>182</v>
      </c>
      <c r="Q9" s="478">
        <v>674200.8</v>
      </c>
      <c r="R9" s="472">
        <f>IF(AD9 = 1, Q9 + SUM(Y9:Y11) - SUM(Z9:Z11) - SUM(V9:V11) - AB9,0)</f>
        <v>261424.80000000005</v>
      </c>
      <c r="S9" s="475"/>
      <c r="T9" s="250">
        <v>45691</v>
      </c>
      <c r="U9" s="496" t="s">
        <v>164</v>
      </c>
      <c r="V9" s="244">
        <v>142178.4</v>
      </c>
      <c r="W9" s="250">
        <v>45700</v>
      </c>
      <c r="X9" s="245"/>
      <c r="Y9" s="244"/>
      <c r="Z9" s="244"/>
      <c r="AA9" s="496"/>
      <c r="AB9" s="478"/>
      <c r="AC9" s="481"/>
      <c r="AD9" s="106">
        <v>1</v>
      </c>
    </row>
    <row r="10" spans="1:33" s="2" customFormat="1" x14ac:dyDescent="0.3">
      <c r="A10" s="494"/>
      <c r="B10" s="476"/>
      <c r="C10" s="476"/>
      <c r="D10" s="476"/>
      <c r="E10" s="476"/>
      <c r="F10" s="476"/>
      <c r="G10" s="479"/>
      <c r="H10" s="473"/>
      <c r="I10" s="479"/>
      <c r="J10" s="479"/>
      <c r="K10" s="476"/>
      <c r="L10" s="476"/>
      <c r="M10" s="476"/>
      <c r="N10" s="485"/>
      <c r="O10" s="488"/>
      <c r="P10" s="491"/>
      <c r="Q10" s="479"/>
      <c r="R10" s="473"/>
      <c r="S10" s="476"/>
      <c r="T10" s="251">
        <v>45719</v>
      </c>
      <c r="U10" s="497"/>
      <c r="V10" s="246">
        <v>128419.2</v>
      </c>
      <c r="W10" s="251">
        <v>45726</v>
      </c>
      <c r="X10" s="247"/>
      <c r="Y10" s="246"/>
      <c r="Z10" s="246"/>
      <c r="AA10" s="497"/>
      <c r="AB10" s="479"/>
      <c r="AC10" s="482"/>
      <c r="AD10" s="2">
        <v>1</v>
      </c>
    </row>
    <row r="11" spans="1:33" s="2" customFormat="1" x14ac:dyDescent="0.3">
      <c r="A11" s="495"/>
      <c r="B11" s="477"/>
      <c r="C11" s="477"/>
      <c r="D11" s="477"/>
      <c r="E11" s="477"/>
      <c r="F11" s="477"/>
      <c r="G11" s="480"/>
      <c r="H11" s="474"/>
      <c r="I11" s="480"/>
      <c r="J11" s="480"/>
      <c r="K11" s="477"/>
      <c r="L11" s="477"/>
      <c r="M11" s="477"/>
      <c r="N11" s="486"/>
      <c r="O11" s="489"/>
      <c r="P11" s="492"/>
      <c r="Q11" s="480"/>
      <c r="R11" s="474"/>
      <c r="S11" s="477"/>
      <c r="T11" s="252">
        <v>45749</v>
      </c>
      <c r="U11" s="498"/>
      <c r="V11" s="248">
        <v>142178.4</v>
      </c>
      <c r="W11" s="252">
        <v>45751</v>
      </c>
      <c r="X11" s="249"/>
      <c r="Y11" s="248"/>
      <c r="Z11" s="248"/>
      <c r="AA11" s="498"/>
      <c r="AB11" s="480"/>
      <c r="AC11" s="483"/>
      <c r="AD11" s="2">
        <v>1</v>
      </c>
    </row>
    <row r="12" spans="1:33" x14ac:dyDescent="0.3">
      <c r="AD12" s="8">
        <v>2</v>
      </c>
    </row>
  </sheetData>
  <sheetProtection password="EB34" sheet="1" objects="1" scenarios="1" formatCells="0" formatColumns="0" formatRows="0"/>
  <mergeCells count="27">
    <mergeCell ref="A9:A11"/>
    <mergeCell ref="U9:U11"/>
    <mergeCell ref="AA9:AA11"/>
    <mergeCell ref="B9:B11"/>
    <mergeCell ref="Q9:Q11"/>
    <mergeCell ref="O9:O11"/>
    <mergeCell ref="P9:P11"/>
    <mergeCell ref="E2:F2"/>
    <mergeCell ref="O2:P2"/>
    <mergeCell ref="Y2:AA2"/>
    <mergeCell ref="T2:U2"/>
    <mergeCell ref="R9:R11"/>
    <mergeCell ref="S9:S11"/>
    <mergeCell ref="AB9:AB11"/>
    <mergeCell ref="C9:C11"/>
    <mergeCell ref="AC9:A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33"/>
  <sheetViews>
    <sheetView showGridLines="0" topLeftCell="P1" zoomScale="70" zoomScaleNormal="70" workbookViewId="0">
      <pane ySplit="8" topLeftCell="A27" activePane="bottomLeft" state="frozen"/>
      <selection pane="bottomLeft" activeCell="W31" sqref="W31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422" t="s">
        <v>139</v>
      </c>
      <c r="F2" s="423"/>
      <c r="G2" s="100">
        <f>SUM(G9:G10008)</f>
        <v>1599844.19</v>
      </c>
      <c r="H2" s="15"/>
      <c r="O2" s="422" t="s">
        <v>24</v>
      </c>
      <c r="P2" s="423"/>
      <c r="Q2" s="98">
        <f>SUM(Q9:Q10008)</f>
        <v>1599844.19</v>
      </c>
      <c r="T2" s="328" t="s">
        <v>137</v>
      </c>
      <c r="U2" s="330"/>
      <c r="V2" s="87">
        <f>SUM(V9:V10008)</f>
        <v>1075181.1200000001</v>
      </c>
      <c r="X2" s="86"/>
      <c r="Y2" s="328" t="s">
        <v>45</v>
      </c>
      <c r="Z2" s="329"/>
      <c r="AA2" s="330"/>
      <c r="AB2" s="88">
        <f>SUM(AB9:AB10008)</f>
        <v>0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0.45" customHeight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6" customFormat="1" ht="144" customHeight="1" x14ac:dyDescent="0.3">
      <c r="A9" s="493">
        <v>1</v>
      </c>
      <c r="B9" s="475" t="s">
        <v>56</v>
      </c>
      <c r="C9" s="475" t="s">
        <v>192</v>
      </c>
      <c r="D9" s="475" t="s">
        <v>147</v>
      </c>
      <c r="E9" s="475" t="s">
        <v>193</v>
      </c>
      <c r="F9" s="475" t="s">
        <v>177</v>
      </c>
      <c r="G9" s="478">
        <v>1599844.19</v>
      </c>
      <c r="H9" s="472">
        <f>IF(AD9 = 1, G9 - Q9,0)</f>
        <v>0</v>
      </c>
      <c r="I9" s="478">
        <v>1</v>
      </c>
      <c r="J9" s="478"/>
      <c r="K9" s="475" t="s">
        <v>162</v>
      </c>
      <c r="L9" s="475" t="s">
        <v>194</v>
      </c>
      <c r="M9" s="475" t="s">
        <v>193</v>
      </c>
      <c r="N9" s="484">
        <v>45642</v>
      </c>
      <c r="O9" s="475" t="s">
        <v>178</v>
      </c>
      <c r="P9" s="475" t="s">
        <v>179</v>
      </c>
      <c r="Q9" s="478">
        <v>1599844.19</v>
      </c>
      <c r="R9" s="472">
        <f>IF(AD9 = 1, Q9 + SUM(Y9:Y32) - SUM(Z9:Z32) - SUM(V9:V32) - AB9,0)</f>
        <v>524663.06999999983</v>
      </c>
      <c r="S9" s="475"/>
      <c r="T9" s="250">
        <v>45681</v>
      </c>
      <c r="U9" s="475" t="s">
        <v>164</v>
      </c>
      <c r="V9" s="244">
        <v>28455</v>
      </c>
      <c r="W9" s="250">
        <v>45701</v>
      </c>
      <c r="X9" s="245"/>
      <c r="Y9" s="244"/>
      <c r="Z9" s="244"/>
      <c r="AA9" s="475"/>
      <c r="AB9" s="478"/>
      <c r="AC9" s="499"/>
      <c r="AD9" s="106">
        <v>1</v>
      </c>
    </row>
    <row r="10" spans="1:33" s="2" customFormat="1" x14ac:dyDescent="0.3">
      <c r="A10" s="494"/>
      <c r="B10" s="476"/>
      <c r="C10" s="476"/>
      <c r="D10" s="476"/>
      <c r="E10" s="476"/>
      <c r="F10" s="476"/>
      <c r="G10" s="479"/>
      <c r="H10" s="473"/>
      <c r="I10" s="479"/>
      <c r="J10" s="479"/>
      <c r="K10" s="476"/>
      <c r="L10" s="476"/>
      <c r="M10" s="476"/>
      <c r="N10" s="485"/>
      <c r="O10" s="476"/>
      <c r="P10" s="476"/>
      <c r="Q10" s="479"/>
      <c r="R10" s="473"/>
      <c r="S10" s="476"/>
      <c r="T10" s="251">
        <v>45695</v>
      </c>
      <c r="U10" s="476"/>
      <c r="V10" s="246">
        <v>39340</v>
      </c>
      <c r="W10" s="251">
        <v>45701</v>
      </c>
      <c r="X10" s="247"/>
      <c r="Y10" s="246"/>
      <c r="Z10" s="246"/>
      <c r="AA10" s="476"/>
      <c r="AB10" s="479"/>
      <c r="AC10" s="500"/>
      <c r="AD10" s="2">
        <v>1</v>
      </c>
    </row>
    <row r="11" spans="1:33" s="2" customFormat="1" x14ac:dyDescent="0.3">
      <c r="A11" s="494"/>
      <c r="B11" s="476"/>
      <c r="C11" s="476"/>
      <c r="D11" s="476"/>
      <c r="E11" s="476"/>
      <c r="F11" s="476"/>
      <c r="G11" s="479"/>
      <c r="H11" s="473"/>
      <c r="I11" s="479"/>
      <c r="J11" s="479"/>
      <c r="K11" s="476"/>
      <c r="L11" s="476"/>
      <c r="M11" s="476"/>
      <c r="N11" s="485"/>
      <c r="O11" s="476"/>
      <c r="P11" s="476"/>
      <c r="Q11" s="479"/>
      <c r="R11" s="473"/>
      <c r="S11" s="476"/>
      <c r="T11" s="251">
        <v>45695</v>
      </c>
      <c r="U11" s="476"/>
      <c r="V11" s="246">
        <v>122212.22</v>
      </c>
      <c r="W11" s="251">
        <v>45712</v>
      </c>
      <c r="X11" s="247"/>
      <c r="Y11" s="246"/>
      <c r="Z11" s="246"/>
      <c r="AA11" s="476"/>
      <c r="AB11" s="479"/>
      <c r="AC11" s="500"/>
      <c r="AD11" s="2">
        <v>1</v>
      </c>
    </row>
    <row r="12" spans="1:33" s="2" customFormat="1" x14ac:dyDescent="0.3">
      <c r="A12" s="494"/>
      <c r="B12" s="476"/>
      <c r="C12" s="476"/>
      <c r="D12" s="476"/>
      <c r="E12" s="476"/>
      <c r="F12" s="476"/>
      <c r="G12" s="479"/>
      <c r="H12" s="473"/>
      <c r="I12" s="479"/>
      <c r="J12" s="479"/>
      <c r="K12" s="476"/>
      <c r="L12" s="476"/>
      <c r="M12" s="476"/>
      <c r="N12" s="485"/>
      <c r="O12" s="476"/>
      <c r="P12" s="476"/>
      <c r="Q12" s="479"/>
      <c r="R12" s="473"/>
      <c r="S12" s="476"/>
      <c r="T12" s="251">
        <v>45315</v>
      </c>
      <c r="U12" s="476"/>
      <c r="V12" s="246">
        <v>88397.27</v>
      </c>
      <c r="W12" s="251">
        <v>45712</v>
      </c>
      <c r="X12" s="247"/>
      <c r="Y12" s="246"/>
      <c r="Z12" s="246"/>
      <c r="AA12" s="476"/>
      <c r="AB12" s="479"/>
      <c r="AC12" s="500"/>
      <c r="AD12" s="2">
        <v>1</v>
      </c>
    </row>
    <row r="13" spans="1:33" s="2" customFormat="1" x14ac:dyDescent="0.3">
      <c r="A13" s="494"/>
      <c r="B13" s="476"/>
      <c r="C13" s="476"/>
      <c r="D13" s="476"/>
      <c r="E13" s="476"/>
      <c r="F13" s="476"/>
      <c r="G13" s="479"/>
      <c r="H13" s="473"/>
      <c r="I13" s="479"/>
      <c r="J13" s="479"/>
      <c r="K13" s="476"/>
      <c r="L13" s="476"/>
      <c r="M13" s="476"/>
      <c r="N13" s="485"/>
      <c r="O13" s="476"/>
      <c r="P13" s="476"/>
      <c r="Q13" s="479"/>
      <c r="R13" s="473"/>
      <c r="S13" s="476"/>
      <c r="T13" s="251">
        <v>45695</v>
      </c>
      <c r="U13" s="476"/>
      <c r="V13" s="246">
        <v>7800.86</v>
      </c>
      <c r="W13" s="251">
        <v>45712</v>
      </c>
      <c r="X13" s="247"/>
      <c r="Y13" s="246"/>
      <c r="Z13" s="246"/>
      <c r="AA13" s="476"/>
      <c r="AB13" s="479"/>
      <c r="AC13" s="500"/>
      <c r="AD13" s="2">
        <v>1</v>
      </c>
    </row>
    <row r="14" spans="1:33" s="2" customFormat="1" x14ac:dyDescent="0.3">
      <c r="A14" s="494"/>
      <c r="B14" s="476"/>
      <c r="C14" s="476"/>
      <c r="D14" s="476"/>
      <c r="E14" s="476"/>
      <c r="F14" s="476"/>
      <c r="G14" s="479"/>
      <c r="H14" s="473"/>
      <c r="I14" s="479"/>
      <c r="J14" s="479"/>
      <c r="K14" s="476"/>
      <c r="L14" s="476"/>
      <c r="M14" s="476"/>
      <c r="N14" s="485"/>
      <c r="O14" s="476"/>
      <c r="P14" s="476"/>
      <c r="Q14" s="479"/>
      <c r="R14" s="473"/>
      <c r="S14" s="476"/>
      <c r="T14" s="251">
        <v>45681</v>
      </c>
      <c r="U14" s="476"/>
      <c r="V14" s="246">
        <v>5642.44</v>
      </c>
      <c r="W14" s="251">
        <v>45712</v>
      </c>
      <c r="X14" s="247"/>
      <c r="Y14" s="246"/>
      <c r="Z14" s="246"/>
      <c r="AA14" s="476"/>
      <c r="AB14" s="479"/>
      <c r="AC14" s="500"/>
      <c r="AD14" s="2">
        <v>1</v>
      </c>
    </row>
    <row r="15" spans="1:33" s="2" customFormat="1" x14ac:dyDescent="0.3">
      <c r="A15" s="494"/>
      <c r="B15" s="476"/>
      <c r="C15" s="476"/>
      <c r="D15" s="476"/>
      <c r="E15" s="476"/>
      <c r="F15" s="476"/>
      <c r="G15" s="479"/>
      <c r="H15" s="473"/>
      <c r="I15" s="479"/>
      <c r="J15" s="479"/>
      <c r="K15" s="476"/>
      <c r="L15" s="476"/>
      <c r="M15" s="476"/>
      <c r="N15" s="485"/>
      <c r="O15" s="476"/>
      <c r="P15" s="476"/>
      <c r="Q15" s="479"/>
      <c r="R15" s="473"/>
      <c r="S15" s="476"/>
      <c r="T15" s="251">
        <v>45708</v>
      </c>
      <c r="U15" s="476"/>
      <c r="V15" s="246">
        <v>6044.97</v>
      </c>
      <c r="W15" s="251">
        <v>45719</v>
      </c>
      <c r="X15" s="247"/>
      <c r="Y15" s="246"/>
      <c r="Z15" s="246"/>
      <c r="AA15" s="476"/>
      <c r="AB15" s="479"/>
      <c r="AC15" s="500"/>
      <c r="AD15" s="2">
        <v>1</v>
      </c>
    </row>
    <row r="16" spans="1:33" s="2" customFormat="1" x14ac:dyDescent="0.3">
      <c r="A16" s="494"/>
      <c r="B16" s="476"/>
      <c r="C16" s="476"/>
      <c r="D16" s="476"/>
      <c r="E16" s="476"/>
      <c r="F16" s="476"/>
      <c r="G16" s="479"/>
      <c r="H16" s="473"/>
      <c r="I16" s="479"/>
      <c r="J16" s="479"/>
      <c r="K16" s="476"/>
      <c r="L16" s="476"/>
      <c r="M16" s="476"/>
      <c r="N16" s="485"/>
      <c r="O16" s="476"/>
      <c r="P16" s="476"/>
      <c r="Q16" s="479"/>
      <c r="R16" s="473"/>
      <c r="S16" s="476"/>
      <c r="T16" s="251">
        <v>45708</v>
      </c>
      <c r="U16" s="476"/>
      <c r="V16" s="246">
        <v>30485</v>
      </c>
      <c r="W16" s="251">
        <v>45719</v>
      </c>
      <c r="X16" s="247"/>
      <c r="Y16" s="246"/>
      <c r="Z16" s="246"/>
      <c r="AA16" s="476"/>
      <c r="AB16" s="479"/>
      <c r="AC16" s="500"/>
      <c r="AD16" s="2">
        <v>1</v>
      </c>
    </row>
    <row r="17" spans="1:30" s="2" customFormat="1" x14ac:dyDescent="0.3">
      <c r="A17" s="494"/>
      <c r="B17" s="476"/>
      <c r="C17" s="476"/>
      <c r="D17" s="476"/>
      <c r="E17" s="476"/>
      <c r="F17" s="476"/>
      <c r="G17" s="479"/>
      <c r="H17" s="473"/>
      <c r="I17" s="479"/>
      <c r="J17" s="479"/>
      <c r="K17" s="476"/>
      <c r="L17" s="476"/>
      <c r="M17" s="476"/>
      <c r="N17" s="485"/>
      <c r="O17" s="476"/>
      <c r="P17" s="476"/>
      <c r="Q17" s="479"/>
      <c r="R17" s="473"/>
      <c r="S17" s="476"/>
      <c r="T17" s="251">
        <v>45708</v>
      </c>
      <c r="U17" s="476"/>
      <c r="V17" s="246">
        <v>94703.6</v>
      </c>
      <c r="W17" s="251">
        <v>45719</v>
      </c>
      <c r="X17" s="247"/>
      <c r="Y17" s="246"/>
      <c r="Z17" s="246"/>
      <c r="AA17" s="476"/>
      <c r="AB17" s="479"/>
      <c r="AC17" s="500"/>
      <c r="AD17" s="2">
        <v>1</v>
      </c>
    </row>
    <row r="18" spans="1:30" s="2" customFormat="1" x14ac:dyDescent="0.3">
      <c r="A18" s="494"/>
      <c r="B18" s="476"/>
      <c r="C18" s="476"/>
      <c r="D18" s="476"/>
      <c r="E18" s="476"/>
      <c r="F18" s="476"/>
      <c r="G18" s="479"/>
      <c r="H18" s="473"/>
      <c r="I18" s="479"/>
      <c r="J18" s="479"/>
      <c r="K18" s="476"/>
      <c r="L18" s="476"/>
      <c r="M18" s="476"/>
      <c r="N18" s="485"/>
      <c r="O18" s="476"/>
      <c r="P18" s="476"/>
      <c r="Q18" s="479"/>
      <c r="R18" s="473"/>
      <c r="S18" s="476"/>
      <c r="T18" s="251">
        <v>45722</v>
      </c>
      <c r="U18" s="476"/>
      <c r="V18" s="246">
        <v>102749.6</v>
      </c>
      <c r="W18" s="251">
        <v>45734</v>
      </c>
      <c r="X18" s="247"/>
      <c r="Y18" s="246"/>
      <c r="Z18" s="246"/>
      <c r="AA18" s="476"/>
      <c r="AB18" s="479"/>
      <c r="AC18" s="500"/>
      <c r="AD18" s="2">
        <v>1</v>
      </c>
    </row>
    <row r="19" spans="1:30" s="2" customFormat="1" x14ac:dyDescent="0.3">
      <c r="A19" s="494"/>
      <c r="B19" s="476"/>
      <c r="C19" s="476"/>
      <c r="D19" s="476"/>
      <c r="E19" s="476"/>
      <c r="F19" s="476"/>
      <c r="G19" s="479"/>
      <c r="H19" s="473"/>
      <c r="I19" s="479"/>
      <c r="J19" s="479"/>
      <c r="K19" s="476"/>
      <c r="L19" s="476"/>
      <c r="M19" s="476"/>
      <c r="N19" s="485"/>
      <c r="O19" s="476"/>
      <c r="P19" s="476"/>
      <c r="Q19" s="479"/>
      <c r="R19" s="473"/>
      <c r="S19" s="476"/>
      <c r="T19" s="251">
        <v>45722</v>
      </c>
      <c r="U19" s="476"/>
      <c r="V19" s="246">
        <v>33075</v>
      </c>
      <c r="W19" s="251">
        <v>45734</v>
      </c>
      <c r="X19" s="247"/>
      <c r="Y19" s="246"/>
      <c r="Z19" s="246"/>
      <c r="AA19" s="476"/>
      <c r="AB19" s="479"/>
      <c r="AC19" s="500"/>
      <c r="AD19" s="2">
        <v>1</v>
      </c>
    </row>
    <row r="20" spans="1:30" s="2" customFormat="1" x14ac:dyDescent="0.3">
      <c r="A20" s="494"/>
      <c r="B20" s="476"/>
      <c r="C20" s="476"/>
      <c r="D20" s="476"/>
      <c r="E20" s="476"/>
      <c r="F20" s="476"/>
      <c r="G20" s="479"/>
      <c r="H20" s="473"/>
      <c r="I20" s="479"/>
      <c r="J20" s="479"/>
      <c r="K20" s="476"/>
      <c r="L20" s="476"/>
      <c r="M20" s="476"/>
      <c r="N20" s="485"/>
      <c r="O20" s="476"/>
      <c r="P20" s="476"/>
      <c r="Q20" s="479"/>
      <c r="R20" s="473"/>
      <c r="S20" s="476"/>
      <c r="T20" s="251">
        <v>45722</v>
      </c>
      <c r="U20" s="476"/>
      <c r="V20" s="246">
        <v>6558.55</v>
      </c>
      <c r="W20" s="251">
        <v>45734</v>
      </c>
      <c r="X20" s="247"/>
      <c r="Y20" s="246"/>
      <c r="Z20" s="246"/>
      <c r="AA20" s="476"/>
      <c r="AB20" s="479"/>
      <c r="AC20" s="500"/>
      <c r="AD20" s="2">
        <v>1</v>
      </c>
    </row>
    <row r="21" spans="1:30" s="2" customFormat="1" x14ac:dyDescent="0.3">
      <c r="A21" s="494"/>
      <c r="B21" s="476"/>
      <c r="C21" s="476"/>
      <c r="D21" s="476"/>
      <c r="E21" s="476"/>
      <c r="F21" s="476"/>
      <c r="G21" s="479"/>
      <c r="H21" s="473"/>
      <c r="I21" s="479"/>
      <c r="J21" s="479"/>
      <c r="K21" s="476"/>
      <c r="L21" s="476"/>
      <c r="M21" s="476"/>
      <c r="N21" s="485"/>
      <c r="O21" s="476"/>
      <c r="P21" s="476"/>
      <c r="Q21" s="479"/>
      <c r="R21" s="473"/>
      <c r="S21" s="476"/>
      <c r="T21" s="251">
        <v>45737</v>
      </c>
      <c r="U21" s="476"/>
      <c r="V21" s="246">
        <v>117210.65</v>
      </c>
      <c r="W21" s="251">
        <v>45741</v>
      </c>
      <c r="X21" s="247"/>
      <c r="Y21" s="246"/>
      <c r="Z21" s="246"/>
      <c r="AA21" s="476"/>
      <c r="AB21" s="479"/>
      <c r="AC21" s="500"/>
      <c r="AD21" s="2">
        <v>1</v>
      </c>
    </row>
    <row r="22" spans="1:30" s="2" customFormat="1" x14ac:dyDescent="0.3">
      <c r="A22" s="494"/>
      <c r="B22" s="476"/>
      <c r="C22" s="476"/>
      <c r="D22" s="476"/>
      <c r="E22" s="476"/>
      <c r="F22" s="476"/>
      <c r="G22" s="479"/>
      <c r="H22" s="473"/>
      <c r="I22" s="479"/>
      <c r="J22" s="479"/>
      <c r="K22" s="476"/>
      <c r="L22" s="476"/>
      <c r="M22" s="476"/>
      <c r="N22" s="485"/>
      <c r="O22" s="476"/>
      <c r="P22" s="476"/>
      <c r="Q22" s="479"/>
      <c r="R22" s="473"/>
      <c r="S22" s="476"/>
      <c r="T22" s="251">
        <v>45737</v>
      </c>
      <c r="U22" s="476"/>
      <c r="V22" s="246">
        <v>7481.61</v>
      </c>
      <c r="W22" s="251">
        <v>45741</v>
      </c>
      <c r="X22" s="247"/>
      <c r="Y22" s="246"/>
      <c r="Z22" s="246"/>
      <c r="AA22" s="476"/>
      <c r="AB22" s="479"/>
      <c r="AC22" s="500"/>
      <c r="AD22" s="2">
        <v>1</v>
      </c>
    </row>
    <row r="23" spans="1:30" s="2" customFormat="1" x14ac:dyDescent="0.3">
      <c r="A23" s="494"/>
      <c r="B23" s="476"/>
      <c r="C23" s="476"/>
      <c r="D23" s="476"/>
      <c r="E23" s="476"/>
      <c r="F23" s="476"/>
      <c r="G23" s="479"/>
      <c r="H23" s="473"/>
      <c r="I23" s="479"/>
      <c r="J23" s="479"/>
      <c r="K23" s="476"/>
      <c r="L23" s="476"/>
      <c r="M23" s="476"/>
      <c r="N23" s="485"/>
      <c r="O23" s="476"/>
      <c r="P23" s="476"/>
      <c r="Q23" s="479"/>
      <c r="R23" s="473"/>
      <c r="S23" s="476"/>
      <c r="T23" s="251">
        <v>45737</v>
      </c>
      <c r="U23" s="476"/>
      <c r="V23" s="246">
        <v>37730</v>
      </c>
      <c r="W23" s="251">
        <v>45741</v>
      </c>
      <c r="X23" s="247"/>
      <c r="Y23" s="246"/>
      <c r="Z23" s="246"/>
      <c r="AA23" s="476"/>
      <c r="AB23" s="479"/>
      <c r="AC23" s="500"/>
      <c r="AD23" s="2">
        <v>1</v>
      </c>
    </row>
    <row r="24" spans="1:30" s="2" customFormat="1" x14ac:dyDescent="0.3">
      <c r="A24" s="494"/>
      <c r="B24" s="476"/>
      <c r="C24" s="476"/>
      <c r="D24" s="476"/>
      <c r="E24" s="476"/>
      <c r="F24" s="476"/>
      <c r="G24" s="479"/>
      <c r="H24" s="473"/>
      <c r="I24" s="479"/>
      <c r="J24" s="479"/>
      <c r="K24" s="476"/>
      <c r="L24" s="476"/>
      <c r="M24" s="476"/>
      <c r="N24" s="485"/>
      <c r="O24" s="476"/>
      <c r="P24" s="476"/>
      <c r="Q24" s="479"/>
      <c r="R24" s="473"/>
      <c r="S24" s="476"/>
      <c r="T24" s="251">
        <v>45744</v>
      </c>
      <c r="U24" s="476"/>
      <c r="V24" s="246">
        <v>3886.55</v>
      </c>
      <c r="W24" s="251">
        <v>45751</v>
      </c>
      <c r="X24" s="247"/>
      <c r="Y24" s="246"/>
      <c r="Z24" s="246"/>
      <c r="AA24" s="476"/>
      <c r="AB24" s="479"/>
      <c r="AC24" s="500"/>
      <c r="AD24" s="2">
        <v>1</v>
      </c>
    </row>
    <row r="25" spans="1:30" s="2" customFormat="1" x14ac:dyDescent="0.3">
      <c r="A25" s="494"/>
      <c r="B25" s="476"/>
      <c r="C25" s="476"/>
      <c r="D25" s="476"/>
      <c r="E25" s="476"/>
      <c r="F25" s="476"/>
      <c r="G25" s="479"/>
      <c r="H25" s="473"/>
      <c r="I25" s="479"/>
      <c r="J25" s="479"/>
      <c r="K25" s="476"/>
      <c r="L25" s="476"/>
      <c r="M25" s="476"/>
      <c r="N25" s="485"/>
      <c r="O25" s="476"/>
      <c r="P25" s="476"/>
      <c r="Q25" s="479"/>
      <c r="R25" s="473"/>
      <c r="S25" s="476"/>
      <c r="T25" s="251">
        <v>45744</v>
      </c>
      <c r="U25" s="476"/>
      <c r="V25" s="246">
        <v>19600</v>
      </c>
      <c r="W25" s="251">
        <v>45751</v>
      </c>
      <c r="X25" s="247"/>
      <c r="Y25" s="246"/>
      <c r="Z25" s="246"/>
      <c r="AA25" s="476"/>
      <c r="AB25" s="479"/>
      <c r="AC25" s="500"/>
      <c r="AD25" s="2">
        <v>1</v>
      </c>
    </row>
    <row r="26" spans="1:30" s="2" customFormat="1" x14ac:dyDescent="0.3">
      <c r="A26" s="494"/>
      <c r="B26" s="476"/>
      <c r="C26" s="476"/>
      <c r="D26" s="476"/>
      <c r="E26" s="476"/>
      <c r="F26" s="476"/>
      <c r="G26" s="479"/>
      <c r="H26" s="473"/>
      <c r="I26" s="479"/>
      <c r="J26" s="479"/>
      <c r="K26" s="476"/>
      <c r="L26" s="476"/>
      <c r="M26" s="476"/>
      <c r="N26" s="485"/>
      <c r="O26" s="476"/>
      <c r="P26" s="476"/>
      <c r="Q26" s="479"/>
      <c r="R26" s="473"/>
      <c r="S26" s="476"/>
      <c r="T26" s="251">
        <v>45744</v>
      </c>
      <c r="U26" s="476"/>
      <c r="V26" s="246">
        <v>60888.65</v>
      </c>
      <c r="W26" s="251">
        <v>45751</v>
      </c>
      <c r="X26" s="247"/>
      <c r="Y26" s="246"/>
      <c r="Z26" s="246"/>
      <c r="AA26" s="476"/>
      <c r="AB26" s="479"/>
      <c r="AC26" s="500"/>
      <c r="AD26" s="2">
        <v>1</v>
      </c>
    </row>
    <row r="27" spans="1:30" s="2" customFormat="1" x14ac:dyDescent="0.3">
      <c r="A27" s="494"/>
      <c r="B27" s="476"/>
      <c r="C27" s="476"/>
      <c r="D27" s="476"/>
      <c r="E27" s="476"/>
      <c r="F27" s="476"/>
      <c r="G27" s="479"/>
      <c r="H27" s="473"/>
      <c r="I27" s="479"/>
      <c r="J27" s="479"/>
      <c r="K27" s="476"/>
      <c r="L27" s="476"/>
      <c r="M27" s="476"/>
      <c r="N27" s="485"/>
      <c r="O27" s="476"/>
      <c r="P27" s="476"/>
      <c r="Q27" s="479"/>
      <c r="R27" s="473"/>
      <c r="S27" s="476"/>
      <c r="T27" s="251">
        <v>45757</v>
      </c>
      <c r="U27" s="476"/>
      <c r="V27" s="246">
        <v>4004.53</v>
      </c>
      <c r="W27" s="251">
        <v>45761</v>
      </c>
      <c r="X27" s="247"/>
      <c r="Y27" s="246"/>
      <c r="Z27" s="246"/>
      <c r="AA27" s="476"/>
      <c r="AB27" s="479"/>
      <c r="AC27" s="500"/>
      <c r="AD27" s="2">
        <v>1</v>
      </c>
    </row>
    <row r="28" spans="1:30" s="2" customFormat="1" x14ac:dyDescent="0.3">
      <c r="A28" s="494"/>
      <c r="B28" s="476"/>
      <c r="C28" s="476"/>
      <c r="D28" s="476"/>
      <c r="E28" s="476"/>
      <c r="F28" s="476"/>
      <c r="G28" s="479"/>
      <c r="H28" s="473"/>
      <c r="I28" s="479"/>
      <c r="J28" s="479"/>
      <c r="K28" s="476"/>
      <c r="L28" s="476"/>
      <c r="M28" s="476"/>
      <c r="N28" s="485"/>
      <c r="O28" s="476"/>
      <c r="P28" s="476"/>
      <c r="Q28" s="479"/>
      <c r="R28" s="473"/>
      <c r="S28" s="476"/>
      <c r="T28" s="251">
        <v>45757</v>
      </c>
      <c r="U28" s="476"/>
      <c r="V28" s="246">
        <v>20195</v>
      </c>
      <c r="W28" s="251">
        <v>45761</v>
      </c>
      <c r="X28" s="247"/>
      <c r="Y28" s="246"/>
      <c r="Z28" s="246"/>
      <c r="AA28" s="476"/>
      <c r="AB28" s="479"/>
      <c r="AC28" s="500"/>
      <c r="AD28" s="2">
        <v>1</v>
      </c>
    </row>
    <row r="29" spans="1:30" s="2" customFormat="1" x14ac:dyDescent="0.3">
      <c r="A29" s="494"/>
      <c r="B29" s="476"/>
      <c r="C29" s="476"/>
      <c r="D29" s="476"/>
      <c r="E29" s="476"/>
      <c r="F29" s="476"/>
      <c r="G29" s="479"/>
      <c r="H29" s="473"/>
      <c r="I29" s="479"/>
      <c r="J29" s="479"/>
      <c r="K29" s="476"/>
      <c r="L29" s="476"/>
      <c r="M29" s="476"/>
      <c r="N29" s="485"/>
      <c r="O29" s="476"/>
      <c r="P29" s="476"/>
      <c r="Q29" s="479"/>
      <c r="R29" s="473"/>
      <c r="S29" s="476"/>
      <c r="T29" s="251">
        <v>45757</v>
      </c>
      <c r="U29" s="476"/>
      <c r="V29" s="246">
        <v>62737.06</v>
      </c>
      <c r="W29" s="251">
        <v>45761</v>
      </c>
      <c r="X29" s="247"/>
      <c r="Y29" s="246"/>
      <c r="Z29" s="246"/>
      <c r="AA29" s="476"/>
      <c r="AB29" s="479"/>
      <c r="AC29" s="500"/>
      <c r="AD29" s="2">
        <v>1</v>
      </c>
    </row>
    <row r="30" spans="1:30" s="2" customFormat="1" x14ac:dyDescent="0.3">
      <c r="A30" s="494"/>
      <c r="B30" s="476"/>
      <c r="C30" s="476"/>
      <c r="D30" s="476"/>
      <c r="E30" s="476"/>
      <c r="F30" s="476"/>
      <c r="G30" s="479"/>
      <c r="H30" s="473"/>
      <c r="I30" s="479"/>
      <c r="J30" s="479"/>
      <c r="K30" s="476"/>
      <c r="L30" s="476"/>
      <c r="M30" s="476"/>
      <c r="N30" s="485"/>
      <c r="O30" s="476"/>
      <c r="P30" s="476"/>
      <c r="Q30" s="479"/>
      <c r="R30" s="473"/>
      <c r="S30" s="476"/>
      <c r="T30" s="251">
        <v>45772</v>
      </c>
      <c r="U30" s="476"/>
      <c r="V30" s="246">
        <v>8106.23</v>
      </c>
      <c r="W30" s="251">
        <v>45782</v>
      </c>
      <c r="X30" s="247"/>
      <c r="Y30" s="246"/>
      <c r="Z30" s="246"/>
      <c r="AA30" s="476"/>
      <c r="AB30" s="479"/>
      <c r="AC30" s="500"/>
      <c r="AD30" s="2">
        <v>1</v>
      </c>
    </row>
    <row r="31" spans="1:30" s="2" customFormat="1" x14ac:dyDescent="0.3">
      <c r="A31" s="494"/>
      <c r="B31" s="476"/>
      <c r="C31" s="476"/>
      <c r="D31" s="476"/>
      <c r="E31" s="476"/>
      <c r="F31" s="476"/>
      <c r="G31" s="479"/>
      <c r="H31" s="473"/>
      <c r="I31" s="479"/>
      <c r="J31" s="479"/>
      <c r="K31" s="476"/>
      <c r="L31" s="476"/>
      <c r="M31" s="476"/>
      <c r="N31" s="485"/>
      <c r="O31" s="476"/>
      <c r="P31" s="476"/>
      <c r="Q31" s="479"/>
      <c r="R31" s="473"/>
      <c r="S31" s="476"/>
      <c r="T31" s="251">
        <v>45772</v>
      </c>
      <c r="U31" s="476"/>
      <c r="V31" s="246">
        <v>126996.33</v>
      </c>
      <c r="W31" s="251">
        <v>45782</v>
      </c>
      <c r="X31" s="247"/>
      <c r="Y31" s="246"/>
      <c r="Z31" s="246"/>
      <c r="AA31" s="476"/>
      <c r="AB31" s="479"/>
      <c r="AC31" s="500"/>
      <c r="AD31" s="2">
        <v>1</v>
      </c>
    </row>
    <row r="32" spans="1:30" s="2" customFormat="1" x14ac:dyDescent="0.3">
      <c r="A32" s="495"/>
      <c r="B32" s="477"/>
      <c r="C32" s="477"/>
      <c r="D32" s="477"/>
      <c r="E32" s="477"/>
      <c r="F32" s="477"/>
      <c r="G32" s="480"/>
      <c r="H32" s="474"/>
      <c r="I32" s="480"/>
      <c r="J32" s="480"/>
      <c r="K32" s="477"/>
      <c r="L32" s="477"/>
      <c r="M32" s="477"/>
      <c r="N32" s="486"/>
      <c r="O32" s="477"/>
      <c r="P32" s="477"/>
      <c r="Q32" s="480"/>
      <c r="R32" s="474"/>
      <c r="S32" s="477"/>
      <c r="T32" s="252">
        <v>45772</v>
      </c>
      <c r="U32" s="477"/>
      <c r="V32" s="248">
        <v>40880</v>
      </c>
      <c r="W32" s="252">
        <v>45782</v>
      </c>
      <c r="X32" s="249"/>
      <c r="Y32" s="248"/>
      <c r="Z32" s="248"/>
      <c r="AA32" s="477"/>
      <c r="AB32" s="480"/>
      <c r="AC32" s="501"/>
      <c r="AD32" s="2">
        <v>1</v>
      </c>
    </row>
    <row r="33" spans="1:30" x14ac:dyDescent="0.3">
      <c r="A33" s="14"/>
      <c r="B33" s="14"/>
      <c r="C33" s="14"/>
      <c r="D33" s="14"/>
      <c r="E33" s="14"/>
      <c r="F33" s="14"/>
      <c r="G33" s="15"/>
      <c r="H33" s="16"/>
      <c r="I33" s="104"/>
      <c r="J33" s="104"/>
      <c r="K33" s="14"/>
      <c r="L33" s="14"/>
      <c r="M33" s="14"/>
      <c r="N33" s="29"/>
      <c r="O33" s="14"/>
      <c r="P33" s="14"/>
      <c r="Q33" s="15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8">
        <v>2</v>
      </c>
    </row>
  </sheetData>
  <sheetProtection password="EB34" sheet="1" objects="1" scenarios="1" formatCells="0" formatColumns="0" formatRows="0"/>
  <mergeCells count="27">
    <mergeCell ref="E2:F2"/>
    <mergeCell ref="O2:P2"/>
    <mergeCell ref="Y2:AA2"/>
    <mergeCell ref="T2:U2"/>
    <mergeCell ref="A9:A32"/>
    <mergeCell ref="U9:U32"/>
    <mergeCell ref="O9:O32"/>
    <mergeCell ref="P9:P32"/>
    <mergeCell ref="Q9:Q32"/>
    <mergeCell ref="R9:R32"/>
    <mergeCell ref="S9:S32"/>
    <mergeCell ref="AA9:AA32"/>
    <mergeCell ref="B9:B32"/>
    <mergeCell ref="AB9:AB32"/>
    <mergeCell ref="C9:C32"/>
    <mergeCell ref="AC9:AC32"/>
    <mergeCell ref="D9:D32"/>
    <mergeCell ref="E9:E32"/>
    <mergeCell ref="F9:F32"/>
    <mergeCell ref="G9:G32"/>
    <mergeCell ref="H9:H32"/>
    <mergeCell ref="I9:I32"/>
    <mergeCell ref="J9:J32"/>
    <mergeCell ref="K9:K32"/>
    <mergeCell ref="L9:L32"/>
    <mergeCell ref="M9:M32"/>
    <mergeCell ref="N9:N3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9" activePane="bottomLeft" state="frozen"/>
      <selection pane="bottomLeft" activeCell="C9" sqref="C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422" t="s">
        <v>139</v>
      </c>
      <c r="F2" s="423"/>
      <c r="G2" s="100">
        <f>SUM(G9:G9999)</f>
        <v>0</v>
      </c>
      <c r="H2" s="15"/>
      <c r="O2" s="422" t="s">
        <v>24</v>
      </c>
      <c r="P2" s="423"/>
      <c r="Q2" s="98">
        <f>SUM(Q9:Q9999)</f>
        <v>0</v>
      </c>
      <c r="T2" s="328" t="s">
        <v>137</v>
      </c>
      <c r="U2" s="330"/>
      <c r="V2" s="87">
        <f>SUM(V9:V9999)</f>
        <v>0</v>
      </c>
      <c r="X2" s="86"/>
      <c r="Y2" s="328" t="s">
        <v>45</v>
      </c>
      <c r="Z2" s="329"/>
      <c r="AA2" s="330"/>
      <c r="AB2" s="88">
        <f>SUM(AB9:AB9999)</f>
        <v>0</v>
      </c>
    </row>
    <row r="4" spans="1:33" ht="39.9" customHeight="1" x14ac:dyDescent="0.3">
      <c r="P4" s="502"/>
      <c r="Q4" s="502"/>
      <c r="R4" s="502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idden="1" x14ac:dyDescent="0.3">
      <c r="M9" s="3"/>
      <c r="AD9" s="8">
        <v>2</v>
      </c>
    </row>
    <row r="10" spans="1:33" hidden="1" x14ac:dyDescent="0.3">
      <c r="M10" s="3"/>
    </row>
    <row r="11" spans="1:33" hidden="1" x14ac:dyDescent="0.3">
      <c r="M11" s="3"/>
    </row>
    <row r="12" spans="1:33" hidden="1" x14ac:dyDescent="0.3">
      <c r="M12" s="3"/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26</v>
      </c>
      <c r="B1" s="65">
        <v>12</v>
      </c>
      <c r="C1" s="65">
        <v>9</v>
      </c>
      <c r="D1" s="505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506"/>
      <c r="E2" s="48"/>
      <c r="F2" s="80">
        <v>48</v>
      </c>
      <c r="G2" s="84">
        <v>44</v>
      </c>
      <c r="H2" s="83">
        <v>2</v>
      </c>
      <c r="I2" s="82">
        <v>1</v>
      </c>
      <c r="J2" s="81">
        <v>1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100</v>
      </c>
      <c r="B4" s="62">
        <v>26</v>
      </c>
      <c r="C4" s="62">
        <v>9</v>
      </c>
      <c r="D4" s="507" t="s">
        <v>102</v>
      </c>
      <c r="E4" s="48"/>
      <c r="F4" s="80">
        <v>49</v>
      </c>
      <c r="G4" s="84">
        <v>45</v>
      </c>
      <c r="H4" s="83">
        <v>3</v>
      </c>
      <c r="I4" s="82">
        <v>2</v>
      </c>
      <c r="J4" s="81">
        <v>2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508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12</v>
      </c>
      <c r="B7" s="64">
        <v>2</v>
      </c>
      <c r="C7" s="64">
        <v>9</v>
      </c>
      <c r="D7" s="509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510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11</v>
      </c>
      <c r="B10" s="60">
        <v>1</v>
      </c>
      <c r="C10" s="60">
        <v>9</v>
      </c>
      <c r="D10" s="511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512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32</v>
      </c>
      <c r="B13" s="58">
        <v>1</v>
      </c>
      <c r="C13" s="58">
        <v>9</v>
      </c>
      <c r="D13" s="513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514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8</v>
      </c>
      <c r="B16" s="56">
        <v>0</v>
      </c>
      <c r="C16" s="56">
        <v>9</v>
      </c>
      <c r="D16" s="503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504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2025-05-12T06:30:55Z</dcterms:modified>
</cp:coreProperties>
</file>