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7476" windowHeight="2232" tabRatio="603" firstSheet="1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 iterate="1"/>
</workbook>
</file>

<file path=xl/calcChain.xml><?xml version="1.0" encoding="utf-8"?>
<calcChain xmlns="http://schemas.openxmlformats.org/spreadsheetml/2006/main">
  <c r="I178" i="31" l="1"/>
  <c r="H2" i="31"/>
  <c r="P2" i="31"/>
  <c r="V2" i="31"/>
  <c r="H2" i="27"/>
  <c r="P2" i="27"/>
  <c r="V2" i="27"/>
  <c r="I9" i="27"/>
  <c r="I140" i="31"/>
  <c r="I85" i="31"/>
  <c r="I19" i="27"/>
  <c r="I61" i="27"/>
  <c r="H9" i="20"/>
  <c r="R9" i="20"/>
  <c r="G2" i="20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I19" i="31"/>
  <c r="I106" i="31"/>
  <c r="I60" i="31"/>
  <c r="I51" i="31"/>
  <c r="I113" i="31"/>
  <c r="I39" i="31"/>
  <c r="I12" i="31"/>
  <c r="I177" i="31" l="1"/>
  <c r="I176" i="31"/>
  <c r="I64" i="27" l="1"/>
  <c r="I63" i="27"/>
  <c r="I60" i="27"/>
  <c r="I175" i="31"/>
  <c r="I174" i="31" l="1"/>
  <c r="I59" i="27" l="1"/>
  <c r="I173" i="31"/>
  <c r="I51" i="27" l="1"/>
  <c r="I171" i="31"/>
  <c r="I58" i="31"/>
  <c r="I41" i="27" l="1"/>
  <c r="H13" i="19" l="1"/>
  <c r="I58" i="27" l="1"/>
  <c r="I57" i="27"/>
  <c r="I170" i="31"/>
  <c r="H9" i="19" l="1"/>
  <c r="H9" i="22"/>
  <c r="R9" i="22"/>
  <c r="H12" i="17"/>
  <c r="R12" i="17"/>
  <c r="I148" i="31" l="1"/>
  <c r="I146" i="31"/>
  <c r="I160" i="31"/>
  <c r="I150" i="31"/>
  <c r="I55" i="27"/>
  <c r="I45" i="27"/>
  <c r="I54" i="27" l="1"/>
  <c r="I50" i="27"/>
  <c r="I49" i="27"/>
  <c r="I48" i="27"/>
  <c r="I47" i="27"/>
  <c r="I169" i="31" l="1"/>
  <c r="I168" i="31"/>
  <c r="I44" i="27"/>
  <c r="I43" i="27" l="1"/>
  <c r="I167" i="31"/>
  <c r="I40" i="27"/>
  <c r="I166" i="31"/>
  <c r="I39" i="27"/>
  <c r="I165" i="31"/>
  <c r="I164" i="31"/>
  <c r="H9" i="17" l="1"/>
  <c r="R9" i="17"/>
  <c r="I123" i="31"/>
  <c r="I120" i="31"/>
  <c r="I82" i="31"/>
  <c r="I67" i="31"/>
  <c r="I34" i="27"/>
  <c r="I9" i="31"/>
  <c r="I38" i="27" l="1"/>
  <c r="I37" i="27" l="1"/>
  <c r="I36" i="27"/>
  <c r="I145" i="31"/>
  <c r="I33" i="27"/>
  <c r="I32" i="27"/>
  <c r="I139" i="31" l="1"/>
  <c r="I138" i="31" l="1"/>
  <c r="I137" i="31"/>
  <c r="I31" i="27"/>
  <c r="I18" i="27"/>
  <c r="I136" i="31"/>
  <c r="I135" i="31"/>
  <c r="I133" i="31"/>
  <c r="I129" i="31" l="1"/>
  <c r="I17" i="27" l="1"/>
  <c r="I16" i="27"/>
  <c r="I65" i="27"/>
  <c r="I132" i="31" l="1"/>
  <c r="I131" i="31" l="1"/>
  <c r="I46" i="31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D12" i="21"/>
  <c r="J12" i="21"/>
  <c r="D19" i="21"/>
  <c r="G14" i="21" l="1"/>
  <c r="M14" i="21" s="1"/>
  <c r="G12" i="21"/>
  <c r="M13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<sst xmlns="http://schemas.openxmlformats.org/spreadsheetml/2006/main" count="1115" uniqueCount="376">
  <si>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</si>
  <si>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</si>
  <si>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</si>
  <si>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</si>
  <si>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</si>
  <si>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</si>
  <si>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</si>
  <si>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</si>
  <si>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</si>
  <si>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</si>
  <si>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</si>
  <si>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</si>
  <si>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</si>
  <si>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</si>
  <si>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</si>
  <si>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</si>
  <si>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</si>
  <si>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</si>
  <si>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</si>
  <si>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</si>
  <si>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</si>
  <si>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</si>
  <si>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</si>
  <si>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</si>
  <si>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</si>
  <si>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</si>
  <si>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</si>
  <si>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</si>
  <si>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</si>
  <si>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</si>
  <si>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</si>
  <si>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</si>
  <si>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</si>
  <si>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</si>
  <si>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</si>
  <si>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</si>
  <si>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</si>
  <si>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</si>
  <si>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</si>
  <si>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</si>
  <si>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</si>
  <si>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</si>
  <si>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</si>
  <si>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</si>
  <si>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</si>
  <si>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</si>
  <si>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</si>
  <si>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</si>
  <si>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</si>
  <si>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</si>
  <si>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</si>
  <si>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</si>
  <si>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</si>
  <si>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</si>
  <si>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</si>
  <si>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</si>
  <si>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</si>
  <si>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</si>
  <si>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</si>
  <si>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</si>
  <si>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</si>
  <si>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</si>
  <si>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</si>
  <si>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</si>
  <si>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</si>
  <si>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</si>
  <si>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</si>
  <si>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</si>
  <si>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</si>
  <si>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</si>
  <si>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</si>
  <si>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</si>
  <si>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</si>
  <si>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</si>
  <si>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</si>
  <si>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</si>
  <si>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</si>
  <si>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</si>
  <si>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</si>
  <si>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</si>
  <si>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</si>
  <si>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</si>
  <si>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</si>
  <si>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</si>
  <si>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</si>
  <si>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</si>
  <si>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</si>
  <si>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</si>
  <si>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</si>
  <si>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</si>
  <si>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</si>
  <si>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</si>
  <si>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</si>
  <si>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</si>
  <si>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</si>
  <si>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</si>
  <si>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</si>
  <si>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</si>
  <si>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</si>
  <si>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</si>
  <si>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</si>
  <si>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</si>
  <si>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</si>
  <si>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</si>
  <si>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</si>
  <si>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</si>
  <si>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</si>
  <si>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</si>
  <si>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</si>
  <si>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</si>
  <si>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</si>
  <si>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</si>
  <si>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</si>
  <si>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</si>
  <si>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</si>
  <si>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</si>
  <si>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</si>
  <si>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</si>
  <si>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</si>
  <si>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</si>
  <si>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</si>
  <si>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</si>
  <si>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</si>
  <si>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</si>
  <si>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</si>
  <si>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</si>
  <si>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</si>
  <si>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</si>
  <si>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</si>
  <si>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</si>
  <si>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</si>
  <si>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</si>
  <si>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</si>
  <si>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</si>
  <si>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</si>
  <si>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</si>
  <si>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</si>
  <si>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</si>
  <si>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</si>
  <si>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</si>
  <si>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</si>
  <si>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</si>
  <si>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</si>
  <si>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</si>
  <si>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</si>
  <si>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</si>
  <si>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</si>
  <si>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</si>
  <si>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</si>
  <si>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</si>
  <si>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</si>
  <si>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</si>
  <si>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</si>
  <si>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</si>
  <si>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</si>
  <si>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</si>
  <si>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</si>
  <si>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</si>
  <si>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</si>
  <si>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ИП Барма</t>
  </si>
  <si>
    <t>МБОУ СОШ №6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</si>
  <si>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</si>
  <si>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</si>
  <si>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</si>
  <si>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</si>
  <si>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</si>
  <si>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</si>
  <si>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</si>
  <si>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</si>
  <si>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</si>
  <si>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</si>
  <si>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</si>
  <si>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</si>
  <si>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</si>
  <si>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</si>
  <si>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</si>
  <si>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</si>
  <si>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питания детей</t>
  </si>
  <si>
    <t>2353020735</t>
  </si>
  <si>
    <t>ООО "Тимашевское ПРТ райпо"</t>
  </si>
  <si>
    <t>0818300019923000374</t>
  </si>
  <si>
    <t>Услуги частной охраны (Выставление поста охраны)</t>
  </si>
  <si>
    <t>Общество с ограниченной ответственностью Частная охранная организация "Легион"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</si>
  <si>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</si>
  <si>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</si>
  <si>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</si>
  <si>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</si>
  <si>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</si>
  <si>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</si>
  <si>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</si>
  <si>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</si>
  <si>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ремонт автобуса</t>
  </si>
  <si>
    <t>243235301409723530100100140015629244</t>
  </si>
  <si>
    <t>0818300019924000321</t>
  </si>
  <si>
    <t>32353014097 24 000007</t>
  </si>
  <si>
    <t>24 32353014097235301001 0015 001 8010 244</t>
  </si>
  <si>
    <t>32353014097 24 000008</t>
  </si>
  <si>
    <t>0818300019924000328</t>
  </si>
  <si>
    <t>оказание услуг по организации питания многодетные</t>
  </si>
  <si>
    <t>2024.478899</t>
  </si>
  <si>
    <t>ООО "Альянс Розница"</t>
  </si>
  <si>
    <t>ДГ-25/109</t>
  </si>
  <si>
    <t>18/25</t>
  </si>
  <si>
    <t>34001035</t>
  </si>
  <si>
    <t>ТО кнопки тревожной сигнализации</t>
  </si>
  <si>
    <t xml:space="preserve">оказание услуг  по организации питания учащихся </t>
  </si>
  <si>
    <t>К029149/25</t>
  </si>
  <si>
    <t>программное обеспечение</t>
  </si>
  <si>
    <t>ОА "ПФ "СКБ Контур"</t>
  </si>
  <si>
    <t>в течение 10 (десяти) рабочих дней с момента его получения путем перечисления 30% суммы, указанной в счете. Оставшиеся 70% Лицензиат обязан оплатить в течение 10 (десяти) рабочих дней с даты, указанной в акте сдачи-приемки или УПД.</t>
  </si>
  <si>
    <t>ИП Аполонов</t>
  </si>
  <si>
    <t>210012514659-122024</t>
  </si>
  <si>
    <t>услуга по идентификации АСН в ГАИС "ЭРА-ГЛОНАСС"</t>
  </si>
  <si>
    <t>7703383783</t>
  </si>
  <si>
    <t>АО "ГЛОНАСС"</t>
  </si>
  <si>
    <t>23-12034</t>
  </si>
  <si>
    <t>Полиграфическая продукция</t>
  </si>
  <si>
    <t>7706526550</t>
  </si>
  <si>
    <t>ООО "СБМ"</t>
  </si>
  <si>
    <t>А0174377</t>
  </si>
  <si>
    <t>Поставка учебной литературы</t>
  </si>
  <si>
    <t>АО "Издательство "Просвещение"</t>
  </si>
  <si>
    <t>А0172245</t>
  </si>
  <si>
    <t>Поставка учебников</t>
  </si>
  <si>
    <t>до 30 июня 2025</t>
  </si>
  <si>
    <t>В течение 10 рабочих дней со дня подписания Заказчиком УПД</t>
  </si>
  <si>
    <t>Поставка мебели</t>
  </si>
  <si>
    <t>235306300848</t>
  </si>
  <si>
    <t>Самозанятый гражданин Егорова Виктория Павловна</t>
  </si>
  <si>
    <t>6/25</t>
  </si>
  <si>
    <t>Дезинфекция</t>
  </si>
  <si>
    <t>ООО "Дезинфекция"</t>
  </si>
  <si>
    <t>Шины</t>
  </si>
  <si>
    <t>235303483777</t>
  </si>
  <si>
    <t>06/26.02</t>
  </si>
  <si>
    <t>ООО "Вольный странник"</t>
  </si>
  <si>
    <t>книги</t>
  </si>
  <si>
    <t>Мясорубка</t>
  </si>
  <si>
    <t>ИП Латышева</t>
  </si>
  <si>
    <t>Услуги связи</t>
  </si>
  <si>
    <t>7707049388</t>
  </si>
  <si>
    <t>ПАО "Ростелеком"</t>
  </si>
  <si>
    <t>баннеры</t>
  </si>
  <si>
    <t>235303800426</t>
  </si>
  <si>
    <t>ИП Шашанков</t>
  </si>
  <si>
    <t>Форма</t>
  </si>
  <si>
    <t>ИП Котляров Е.В.</t>
  </si>
  <si>
    <t>97</t>
  </si>
  <si>
    <t>медосмотр</t>
  </si>
  <si>
    <t>ГБУЗ "Тимашевская ЦРБ"</t>
  </si>
  <si>
    <t>2025.080044</t>
  </si>
  <si>
    <t>6-25-К</t>
  </si>
  <si>
    <t>Дезинсекция</t>
  </si>
  <si>
    <t>2353018870</t>
  </si>
  <si>
    <t>73-ЭО</t>
  </si>
  <si>
    <t>Оказание консультационных услуг по составлению отчетности</t>
  </si>
  <si>
    <t>235306110100</t>
  </si>
  <si>
    <t>ИП Казерова</t>
  </si>
  <si>
    <t>бн</t>
  </si>
  <si>
    <t>поставка учебно-педагогической документации</t>
  </si>
  <si>
    <t>ООО "Краснодарский учколлектор"</t>
  </si>
  <si>
    <t>К143186/25</t>
  </si>
  <si>
    <t>Право использования программы для ЭВМ</t>
  </si>
  <si>
    <t>6663003127</t>
  </si>
  <si>
    <t>АО "Производственная фирма "СКБ Контур"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</si>
  <si>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</si>
  <si>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ИП Тарануха</t>
  </si>
  <si>
    <t>233003348389</t>
  </si>
  <si>
    <t>Канцтовары, бумага</t>
  </si>
  <si>
    <t>Ремонт МФУ</t>
  </si>
  <si>
    <t>235300809163</t>
  </si>
  <si>
    <t>ИП Коваленко</t>
  </si>
  <si>
    <t>126</t>
  </si>
  <si>
    <t>шиномонтаж</t>
  </si>
  <si>
    <t>235305769122</t>
  </si>
  <si>
    <t>31.03.202,5</t>
  </si>
  <si>
    <t>оказание услуг по организации питания</t>
  </si>
  <si>
    <t xml:space="preserve">нет </t>
  </si>
  <si>
    <t>Поставка мотоблока</t>
  </si>
  <si>
    <t>230801417961</t>
  </si>
  <si>
    <t>ИП Осипян</t>
  </si>
  <si>
    <t>31</t>
  </si>
  <si>
    <t>Косилка роторная</t>
  </si>
  <si>
    <t>Технический осмотр автобуса</t>
  </si>
  <si>
    <t>138-ТО</t>
  </si>
  <si>
    <t>534246403</t>
  </si>
  <si>
    <t>Передача неисключительных прав использования базы данных</t>
  </si>
  <si>
    <t>7713754243</t>
  </si>
  <si>
    <t>ООО "М-пресс"</t>
  </si>
  <si>
    <t>ИП Титаренко</t>
  </si>
  <si>
    <t>262702826243</t>
  </si>
  <si>
    <t>АКБ</t>
  </si>
  <si>
    <t>30</t>
  </si>
  <si>
    <t>5665/212</t>
  </si>
  <si>
    <t>Подписка периодической печати</t>
  </si>
  <si>
    <t>7724490000</t>
  </si>
  <si>
    <t>АО "Почта России"</t>
  </si>
  <si>
    <t>32</t>
  </si>
  <si>
    <t>19/05</t>
  </si>
  <si>
    <t>Стенды</t>
  </si>
  <si>
    <t>162802903788</t>
  </si>
  <si>
    <t>ИП Стусь</t>
  </si>
  <si>
    <t>37</t>
  </si>
  <si>
    <t>33</t>
  </si>
  <si>
    <t>38</t>
  </si>
  <si>
    <t>Проектор</t>
  </si>
  <si>
    <t>231107998282</t>
  </si>
  <si>
    <t>АТ00-004759</t>
  </si>
  <si>
    <t>2311187588</t>
  </si>
  <si>
    <t>ООО "АйТи Мониторинг"</t>
  </si>
  <si>
    <t>06/СМЭВ/52</t>
  </si>
  <si>
    <t>предоставление сертификата</t>
  </si>
  <si>
    <t>2310240550</t>
  </si>
  <si>
    <t>ООО "ЦИТ"</t>
  </si>
  <si>
    <t>06/К/СМЭВ/49</t>
  </si>
  <si>
    <t>оказание услуг по установке конфигурационных файлов</t>
  </si>
  <si>
    <t>Бумага</t>
  </si>
  <si>
    <t>2025/6</t>
  </si>
  <si>
    <t>Питание лагерь</t>
  </si>
  <si>
    <t>23530020735</t>
  </si>
  <si>
    <t>1/2025/12</t>
  </si>
  <si>
    <t>Услуги по публичному показу музейных ценностей</t>
  </si>
  <si>
    <t>2310052884</t>
  </si>
  <si>
    <t>ГБУК КК "КГИАМЗ им. Фелицына"</t>
  </si>
  <si>
    <t>30 % предоплаты от общей цены контракта, в течение 5 рабочих дней со дня получения счета на оплату, окончательный расчет в течение 5 рабочих дней с даты подписания акта</t>
  </si>
  <si>
    <t>442</t>
  </si>
  <si>
    <t>Тахограф</t>
  </si>
  <si>
    <t>2369000660</t>
  </si>
  <si>
    <t>253235301409723530100100130018010244</t>
  </si>
  <si>
    <t xml:space="preserve">0818300019925000137 </t>
  </si>
  <si>
    <t>32353014097 25 000002</t>
  </si>
  <si>
    <t>0818300019925000137</t>
  </si>
  <si>
    <t xml:space="preserve"> 23.05.2025</t>
  </si>
  <si>
    <t>ОБЩЕСТВО С ОГРАНИЧЕННОЙ ОТВЕТСТВЕННОСТЬЮ ЧАСТНАЯ ОХРАННАЯ ОРГАНИЗАЦИЯ "ЛЕГИОН" (ООО ЧОО "ЛЕГИОН")</t>
  </si>
  <si>
    <t>не более 7 (семи) рабочих дней с даты подписания Заказчиком документа о приемке.</t>
  </si>
  <si>
    <t>25 32353014097235301001 0014 001 5629 244</t>
  </si>
  <si>
    <t>0818300019925000172</t>
  </si>
  <si>
    <t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</t>
  </si>
  <si>
    <t xml:space="preserve"> 32353014097 25 000003</t>
  </si>
  <si>
    <t>ОБЩЕСТВО С ОГРАНИЧЕННОЙ ОТВЕТСТВЕННОСТЬЮ "ТИМАШЕВСКОЕ ПРЕДПРИЯТИЕ РОЗНИЧНОЙ ТОРГОВЛИ РАЙПО" (ООО "ТИМАШЕВСКОЕ ПРТ РАЙПО")</t>
  </si>
  <si>
    <t>бн от 11.06.2025</t>
  </si>
  <si>
    <t>40</t>
  </si>
  <si>
    <t>обучение</t>
  </si>
  <si>
    <t>182</t>
  </si>
  <si>
    <t>краска</t>
  </si>
  <si>
    <t>033-ПН-25</t>
  </si>
  <si>
    <t>Испытание и измерение электроустановок и электрооборудования</t>
  </si>
  <si>
    <t>235302001163</t>
  </si>
  <si>
    <t>ИП Ромчук</t>
  </si>
  <si>
    <t>ФБУЗ "Центр гигиены и эпидемиологии в Краснодарском крае"</t>
  </si>
  <si>
    <t>2308105200</t>
  </si>
  <si>
    <t>Лабораторные исследования воды</t>
  </si>
  <si>
    <t>675</t>
  </si>
  <si>
    <t>ЧОУ ДПО "Сигнал"</t>
  </si>
  <si>
    <t>А0219229</t>
  </si>
  <si>
    <t>Учебники</t>
  </si>
  <si>
    <t>1780/2025</t>
  </si>
  <si>
    <t>СОУТ</t>
  </si>
  <si>
    <t>2310136750</t>
  </si>
  <si>
    <t>ООО "Карьера"</t>
  </si>
  <si>
    <t>Замена щитков освещения</t>
  </si>
  <si>
    <t>Общество с ограниченной ответственностью «Ремстройэнерго»</t>
  </si>
  <si>
    <t>А0234044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</si>
  <si>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</si>
  <si>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2353021249</t>
  </si>
  <si>
    <t>ООО "Ремстройэнерго"</t>
  </si>
  <si>
    <t>501</t>
  </si>
  <si>
    <t>Поверка счетчика</t>
  </si>
  <si>
    <t>235301271520</t>
  </si>
  <si>
    <t>ОАО "ВСК"</t>
  </si>
  <si>
    <t>7710026574</t>
  </si>
  <si>
    <t>Страхование гражданской ответственности</t>
  </si>
  <si>
    <t>экскурсионные услуги</t>
  </si>
  <si>
    <t>Приход храма вознесения Господня</t>
  </si>
  <si>
    <t>34</t>
  </si>
  <si>
    <t>Поставка электроэнергии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</si>
</sst>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80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>
      <alignment horizontal="center" vertical="center" wrapText="1"/>
    </xf>
    <xf numFmtId="49" fontId="1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7" fontId="1" fillId="0" borderId="25" xfId="0" applyNumberFormat="1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>
      <alignment horizontal="center" vertical="center" wrapText="1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51" xfId="0" applyFont="1" applyFill="1" applyBorder="1" applyAlignment="1" applyProtection="1">
      <alignment vertical="center"/>
      <protection locked="0"/>
    </xf>
    <xf numFmtId="0" fontId="17" fillId="18" borderId="51" xfId="0" applyFont="1" applyFill="1" applyBorder="1" applyAlignment="1" applyProtection="1">
      <alignment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>
      <alignment horizontal="center" vertical="center" wrapText="1"/>
    </xf>
    <xf numFmtId="16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>
      <alignment horizontal="center" vertical="center" wrapText="1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>
      <alignment horizontal="center" vertical="center" wrapText="1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/>
    </xf>
    <xf numFmtId="49" fontId="1" fillId="18" borderId="84" xfId="0" applyNumberFormat="1" applyFont="1" applyFill="1" applyBorder="1" applyAlignment="1">
      <alignment horizontal="center" vertical="center" wrapText="1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16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>
      <alignment horizontal="center" vertical="center" wrapText="1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16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84" xfId="0" applyNumberFormat="1" applyFont="1" applyFill="1" applyBorder="1" applyAlignment="1">
      <alignment horizontal="center" vertical="center" wrapText="1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16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>
      <alignment horizontal="center" vertical="center" wrapText="1"/>
    </xf>
    <xf numFmtId="49" fontId="1" fillId="18" borderId="86" xfId="0" applyNumberFormat="1" applyFont="1" applyFill="1" applyBorder="1" applyAlignment="1">
      <alignment horizontal="center" vertical="center" wrapText="1"/>
    </xf>
    <xf numFmtId="49" fontId="1" fillId="18" borderId="87" xfId="0" applyNumberFormat="1" applyFont="1" applyFill="1" applyBorder="1" applyAlignment="1">
      <alignment horizontal="center" vertical="center" wrapText="1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0" fontId="1" fillId="18" borderId="86" xfId="0" applyFont="1" applyFill="1" applyBorder="1" applyAlignment="1" applyProtection="1">
      <alignment horizontal="center" vertical="center" wrapText="1"/>
      <protection locked="0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0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>
      <alignment horizontal="center" vertical="center" wrapText="1"/>
    </xf>
    <xf numFmtId="4" fontId="1" fillId="18" borderId="86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>
      <alignment horizontal="center" vertical="center" wrapText="1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6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>
      <alignment horizontal="center" vertical="center" wrapText="1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1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1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vertical="center"/>
      <protection locked="0"/>
    </xf>
    <xf numFmtId="0" fontId="16" fillId="0" borderId="43" xfId="0" applyFont="1" applyBorder="1" applyAlignment="1" applyProtection="1">
      <alignment vertical="center"/>
      <protection locked="0"/>
    </xf>
    <xf numFmtId="0" fontId="16" fillId="0" borderId="46" xfId="0" applyFont="1" applyBorder="1" applyAlignment="1" applyProtection="1">
      <alignment vertical="center"/>
      <protection locked="0"/>
    </xf>
    <xf numFmtId="0" fontId="17" fillId="4" borderId="40" xfId="0" applyFont="1" applyFill="1" applyBorder="1" applyAlignment="1" applyProtection="1">
      <alignment vertical="center" wrapText="1"/>
      <protection locked="0"/>
    </xf>
    <xf numFmtId="0" fontId="17" fillId="4" borderId="43" xfId="0" applyFont="1" applyFill="1" applyBorder="1" applyAlignment="1" applyProtection="1">
      <alignment vertical="center" wrapText="1"/>
      <protection locked="0"/>
    </xf>
    <xf numFmtId="0" fontId="17" fillId="4" borderId="46" xfId="0" applyFont="1" applyFill="1" applyBorder="1" applyAlignment="1" applyProtection="1">
      <alignment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>
      <alignment horizontal="center" vertical="center" wrapText="1"/>
    </xf>
    <xf numFmtId="4" fontId="1" fillId="18" borderId="92" xfId="0" applyNumberFormat="1" applyFont="1" applyFill="1" applyBorder="1" applyAlignment="1">
      <alignment horizontal="center" vertical="center" wrapText="1"/>
    </xf>
    <xf numFmtId="4" fontId="1" fillId="18" borderId="95" xfId="0" applyNumberFormat="1" applyFont="1" applyFill="1" applyBorder="1" applyAlignment="1">
      <alignment horizontal="center" vertical="center" wrapText="1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>
      <alignment horizontal="center" vertical="center" wrapText="1"/>
    </xf>
    <xf numFmtId="49" fontId="1" fillId="18" borderId="91" xfId="0" applyNumberFormat="1" applyFont="1" applyFill="1" applyBorder="1" applyAlignment="1">
      <alignment horizontal="center" vertical="center" wrapText="1"/>
    </xf>
    <xf numFmtId="49" fontId="1" fillId="18" borderId="9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6583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4</xdr:row>
      <xdr:rowOff>874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4</xdr:row>
      <xdr:rowOff>873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E4" sqref="E4:G4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398" t="s">
        <v>141</v>
      </c>
      <c r="B1" s="399"/>
      <c r="C1" s="399"/>
      <c r="D1" s="399"/>
      <c r="E1" s="398" t="s">
        <v>160</v>
      </c>
      <c r="F1" s="399"/>
      <c r="G1" s="399"/>
      <c r="H1" s="399"/>
      <c r="I1" s="399"/>
      <c r="J1" s="399"/>
      <c r="K1" s="399"/>
      <c r="L1" s="399"/>
      <c r="M1" s="399"/>
      <c r="N1" s="400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434" t="s">
        <v>25</v>
      </c>
      <c r="B4" s="435"/>
      <c r="C4" s="4">
        <v>13314300.449999999</v>
      </c>
      <c r="D4" s="5"/>
      <c r="E4" s="436" t="s">
        <v>140</v>
      </c>
      <c r="F4" s="437"/>
      <c r="G4" s="438"/>
      <c r="H4" s="439">
        <v>1053942.2</v>
      </c>
      <c r="I4" s="440"/>
      <c r="J4" s="441"/>
      <c r="K4" s="22"/>
      <c r="L4" s="99" t="s">
        <v>55</v>
      </c>
      <c r="M4" s="436">
        <v>7654713.4400000004</v>
      </c>
      <c r="N4" s="438"/>
    </row>
    <row r="5" spans="1:14" ht="30.75" customHeight="1" thickBot="1" x14ac:dyDescent="0.35">
      <c r="A5" s="434" t="s">
        <v>26</v>
      </c>
      <c r="B5" s="435"/>
      <c r="C5" s="6">
        <f>C4-G15+J15</f>
        <v>1785637.4799999991</v>
      </c>
      <c r="D5" s="5"/>
      <c r="E5" s="436" t="s">
        <v>53</v>
      </c>
      <c r="F5" s="437"/>
      <c r="G5" s="438"/>
      <c r="H5" s="429">
        <f>H4-G12</f>
        <v>24605.790000000037</v>
      </c>
      <c r="I5" s="430"/>
      <c r="J5" s="431"/>
      <c r="K5" s="22"/>
      <c r="L5" s="99" t="s">
        <v>54</v>
      </c>
      <c r="M5" s="432">
        <f>M4-G13</f>
        <v>3642255.8400000003</v>
      </c>
      <c r="N5" s="433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442" t="s">
        <v>27</v>
      </c>
      <c r="B8" s="443"/>
      <c r="C8" s="444"/>
      <c r="D8" s="442" t="s">
        <v>28</v>
      </c>
      <c r="E8" s="443"/>
      <c r="F8" s="444"/>
      <c r="G8" s="445" t="s">
        <v>29</v>
      </c>
      <c r="H8" s="446"/>
      <c r="I8" s="447"/>
      <c r="J8" s="445" t="s">
        <v>142</v>
      </c>
      <c r="K8" s="446"/>
      <c r="L8" s="447"/>
      <c r="M8" s="442" t="s">
        <v>30</v>
      </c>
      <c r="N8" s="444"/>
    </row>
    <row r="9" spans="1:14" ht="41.25" customHeight="1" thickBot="1" x14ac:dyDescent="0.35">
      <c r="A9" s="420" t="s">
        <v>31</v>
      </c>
      <c r="B9" s="421"/>
      <c r="C9" s="422"/>
      <c r="D9" s="419">
        <f>'Состоявшиеся аукционы'!G2</f>
        <v>1806282</v>
      </c>
      <c r="E9" s="419"/>
      <c r="F9" s="419"/>
      <c r="G9" s="419">
        <f>'Состоявшиеся аукционы'!Q2</f>
        <v>1739602.8</v>
      </c>
      <c r="H9" s="419"/>
      <c r="I9" s="419"/>
      <c r="J9" s="416">
        <f>'Состоявшиеся аукционы'!AB2</f>
        <v>0</v>
      </c>
      <c r="K9" s="417"/>
      <c r="L9" s="418"/>
      <c r="M9" s="419">
        <f t="shared" ref="M9:M15" si="0">D9-G9</f>
        <v>66679.199999999953</v>
      </c>
      <c r="N9" s="419"/>
    </row>
    <row r="10" spans="1:14" ht="78.75" customHeight="1" thickBot="1" x14ac:dyDescent="0.35">
      <c r="A10" s="420" t="s">
        <v>49</v>
      </c>
      <c r="B10" s="421"/>
      <c r="C10" s="422"/>
      <c r="D10" s="419">
        <f>'Несостоявшиеся аукционы'!G2</f>
        <v>1599844.19</v>
      </c>
      <c r="E10" s="419"/>
      <c r="F10" s="419"/>
      <c r="G10" s="419">
        <f>'Несостоявшиеся аукционы'!Q2</f>
        <v>1599844.19</v>
      </c>
      <c r="H10" s="419"/>
      <c r="I10" s="419"/>
      <c r="J10" s="416">
        <f>'Несостоявшиеся аукционы'!AB2</f>
        <v>187011.6</v>
      </c>
      <c r="K10" s="417"/>
      <c r="L10" s="418"/>
      <c r="M10" s="419">
        <f t="shared" si="0"/>
        <v>0</v>
      </c>
      <c r="N10" s="419"/>
    </row>
    <row r="11" spans="1:14" ht="40.5" customHeight="1" thickBot="1" x14ac:dyDescent="0.35">
      <c r="A11" s="420" t="s">
        <v>83</v>
      </c>
      <c r="B11" s="421"/>
      <c r="C11" s="422"/>
      <c r="D11" s="416">
        <f>'Иные конкурентные закупки'!G2</f>
        <v>1098720</v>
      </c>
      <c r="E11" s="417"/>
      <c r="F11" s="418"/>
      <c r="G11" s="416">
        <f>'Иные конкурентные закупки'!Q2</f>
        <v>994080</v>
      </c>
      <c r="H11" s="417"/>
      <c r="I11" s="418"/>
      <c r="J11" s="416">
        <f>'Иные конкурентные закупки'!AB2</f>
        <v>0</v>
      </c>
      <c r="K11" s="417"/>
      <c r="L11" s="418"/>
      <c r="M11" s="416">
        <f t="shared" si="0"/>
        <v>104640</v>
      </c>
      <c r="N11" s="418"/>
    </row>
    <row r="12" spans="1:14" ht="54.75" customHeight="1" thickBot="1" x14ac:dyDescent="0.35">
      <c r="A12" s="423" t="s">
        <v>50</v>
      </c>
      <c r="B12" s="424"/>
      <c r="C12" s="425"/>
      <c r="D12" s="419">
        <f>'Ед. поставщик п.4 ч.1'!H2</f>
        <v>1029336.4099999999</v>
      </c>
      <c r="E12" s="419"/>
      <c r="F12" s="419"/>
      <c r="G12" s="419">
        <f>D12</f>
        <v>1029336.4099999999</v>
      </c>
      <c r="H12" s="419"/>
      <c r="I12" s="419"/>
      <c r="J12" s="416">
        <f>'Ед. поставщик п.4 ч.1'!V2</f>
        <v>0</v>
      </c>
      <c r="K12" s="417"/>
      <c r="L12" s="418"/>
      <c r="M12" s="419">
        <f t="shared" si="0"/>
        <v>0</v>
      </c>
      <c r="N12" s="419"/>
    </row>
    <row r="13" spans="1:14" ht="45.75" customHeight="1" thickBot="1" x14ac:dyDescent="0.35">
      <c r="A13" s="423" t="s">
        <v>51</v>
      </c>
      <c r="B13" s="424"/>
      <c r="C13" s="425"/>
      <c r="D13" s="419">
        <f>'Ед. поставщик п.5 ч.1'!H2</f>
        <v>4012457.6</v>
      </c>
      <c r="E13" s="419"/>
      <c r="F13" s="419"/>
      <c r="G13" s="419">
        <f>D13</f>
        <v>4012457.6</v>
      </c>
      <c r="H13" s="419"/>
      <c r="I13" s="419"/>
      <c r="J13" s="416">
        <f>'Ед. поставщик п.5 ч.1'!V2</f>
        <v>0</v>
      </c>
      <c r="K13" s="417"/>
      <c r="L13" s="418"/>
      <c r="M13" s="419">
        <f t="shared" si="0"/>
        <v>0</v>
      </c>
      <c r="N13" s="419"/>
    </row>
    <row r="14" spans="1:14" ht="45.75" customHeight="1" thickBot="1" x14ac:dyDescent="0.35">
      <c r="A14" s="413" t="s">
        <v>52</v>
      </c>
      <c r="B14" s="414"/>
      <c r="C14" s="415"/>
      <c r="D14" s="416">
        <f>'Ед.поставщик за искл. п.4,5 ч.1'!G2</f>
        <v>2340353.5699999998</v>
      </c>
      <c r="E14" s="417"/>
      <c r="F14" s="418"/>
      <c r="G14" s="416">
        <f>D14</f>
        <v>2340353.5699999998</v>
      </c>
      <c r="H14" s="417"/>
      <c r="I14" s="418"/>
      <c r="J14" s="416">
        <f>'Ед.поставщик за искл. п.4,5 ч.1'!T2</f>
        <v>0</v>
      </c>
      <c r="K14" s="417"/>
      <c r="L14" s="418"/>
      <c r="M14" s="419">
        <f t="shared" si="0"/>
        <v>0</v>
      </c>
      <c r="N14" s="419"/>
    </row>
    <row r="15" spans="1:14" ht="21.6" thickBot="1" x14ac:dyDescent="0.35">
      <c r="A15" s="426" t="s">
        <v>143</v>
      </c>
      <c r="B15" s="427"/>
      <c r="C15" s="428"/>
      <c r="D15" s="419">
        <f>SUM(D9:D14)</f>
        <v>11886993.77</v>
      </c>
      <c r="E15" s="419"/>
      <c r="F15" s="419"/>
      <c r="G15" s="416">
        <f>SUM(G9:G14)</f>
        <v>11715674.57</v>
      </c>
      <c r="H15" s="417"/>
      <c r="I15" s="418"/>
      <c r="J15" s="416">
        <f>SUM(J9:J14)</f>
        <v>187011.6</v>
      </c>
      <c r="K15" s="417"/>
      <c r="L15" s="418"/>
      <c r="M15" s="419">
        <f t="shared" si="0"/>
        <v>171319.19999999925</v>
      </c>
      <c r="N15" s="419"/>
    </row>
    <row r="17" spans="1:12" x14ac:dyDescent="0.3">
      <c r="K17" s="122"/>
    </row>
    <row r="18" spans="1:12" ht="15" thickBot="1" x14ac:dyDescent="0.35">
      <c r="K18" s="122"/>
    </row>
    <row r="19" spans="1:12" ht="23.25" customHeight="1" x14ac:dyDescent="0.3">
      <c r="A19" s="401" t="s">
        <v>35</v>
      </c>
      <c r="B19" s="402"/>
      <c r="C19" s="403"/>
      <c r="D19" s="407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7424299.6800000006</v>
      </c>
      <c r="E19" s="408"/>
      <c r="F19" s="408"/>
      <c r="G19" s="409"/>
      <c r="I19" s="20"/>
      <c r="J19" s="20"/>
      <c r="K19" s="20"/>
      <c r="L19" s="20"/>
    </row>
    <row r="20" spans="1:12" ht="24" customHeight="1" thickBot="1" x14ac:dyDescent="0.35">
      <c r="A20" s="404"/>
      <c r="B20" s="405"/>
      <c r="C20" s="406"/>
      <c r="D20" s="410"/>
      <c r="E20" s="411"/>
      <c r="F20" s="411"/>
      <c r="G20" s="412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70"/>
  <sheetViews>
    <sheetView showGridLines="0" topLeftCell="G1" zoomScale="50" zoomScaleNormal="50" workbookViewId="0">
      <pane ySplit="8" topLeftCell="A63" activePane="bottomLeft" state="frozen"/>
      <selection activeCell="I1" sqref="I1"/>
      <selection pane="bottomLeft" activeCell="Q64" sqref="Q64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1029336.4099999999</v>
      </c>
      <c r="K2" s="507"/>
      <c r="L2" s="507"/>
      <c r="M2" s="507"/>
      <c r="N2" s="508" t="s">
        <v>137</v>
      </c>
      <c r="O2" s="510"/>
      <c r="P2" s="87">
        <f>SUM(P9:P9999)</f>
        <v>909035.0299999998</v>
      </c>
      <c r="R2" s="86"/>
      <c r="S2" s="508" t="s">
        <v>45</v>
      </c>
      <c r="T2" s="509"/>
      <c r="U2" s="510"/>
      <c r="V2" s="88">
        <f>SUM(V9:V9999)</f>
        <v>0</v>
      </c>
    </row>
    <row r="3" spans="1:24" x14ac:dyDescent="0.3">
      <c r="A3" s="507"/>
      <c r="B3" s="507"/>
      <c r="C3" s="507"/>
      <c r="D3" s="507"/>
      <c r="E3" s="507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511"/>
      <c r="K4" s="511"/>
      <c r="M4" s="511"/>
      <c r="N4" s="511"/>
      <c r="O4" s="511"/>
      <c r="P4" s="511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5" customFormat="1" ht="144" customHeight="1" x14ac:dyDescent="0.3">
      <c r="A9" s="451">
        <v>1</v>
      </c>
      <c r="B9" s="448" t="s">
        <v>56</v>
      </c>
      <c r="C9" s="448" t="s">
        <v>146</v>
      </c>
      <c r="D9" s="448" t="s">
        <v>147</v>
      </c>
      <c r="E9" s="466" t="s">
        <v>211</v>
      </c>
      <c r="F9" s="454">
        <v>45680</v>
      </c>
      <c r="G9" s="448" t="s">
        <v>212</v>
      </c>
      <c r="H9" s="457">
        <v>15000</v>
      </c>
      <c r="I9" s="469">
        <f>IF(X9 = 23, H9 + SUM(S9:S15) - SUM(T9:T15) - SUM(P9:P15) - V9,0)</f>
        <v>12270</v>
      </c>
      <c r="J9" s="448" t="s">
        <v>213</v>
      </c>
      <c r="K9" s="448" t="s">
        <v>214</v>
      </c>
      <c r="L9" s="448" t="s">
        <v>146</v>
      </c>
      <c r="M9" s="448"/>
      <c r="N9" s="382">
        <v>45688</v>
      </c>
      <c r="O9" s="454" t="s">
        <v>183</v>
      </c>
      <c r="P9" s="373">
        <v>390</v>
      </c>
      <c r="Q9" s="374">
        <v>45706</v>
      </c>
      <c r="R9" s="375"/>
      <c r="S9" s="373"/>
      <c r="T9" s="373"/>
      <c r="U9" s="457"/>
      <c r="V9" s="460"/>
      <c r="W9" s="463"/>
      <c r="X9" s="105">
        <v>23</v>
      </c>
    </row>
    <row r="10" spans="1:24" s="152" customFormat="1" x14ac:dyDescent="0.3">
      <c r="A10" s="452"/>
      <c r="B10" s="449"/>
      <c r="C10" s="449"/>
      <c r="D10" s="449"/>
      <c r="E10" s="467"/>
      <c r="F10" s="455"/>
      <c r="G10" s="449"/>
      <c r="H10" s="458"/>
      <c r="I10" s="470"/>
      <c r="J10" s="449"/>
      <c r="K10" s="449"/>
      <c r="L10" s="449"/>
      <c r="M10" s="449"/>
      <c r="N10" s="383">
        <v>45716</v>
      </c>
      <c r="O10" s="455"/>
      <c r="P10" s="376">
        <v>390</v>
      </c>
      <c r="Q10" s="377">
        <v>45729</v>
      </c>
      <c r="R10" s="378"/>
      <c r="S10" s="376"/>
      <c r="T10" s="376"/>
      <c r="U10" s="458"/>
      <c r="V10" s="461"/>
      <c r="W10" s="464"/>
      <c r="X10" s="152">
        <v>23</v>
      </c>
    </row>
    <row r="11" spans="1:24" s="190" customFormat="1" x14ac:dyDescent="0.3">
      <c r="A11" s="452"/>
      <c r="B11" s="449"/>
      <c r="C11" s="449"/>
      <c r="D11" s="449"/>
      <c r="E11" s="467"/>
      <c r="F11" s="455"/>
      <c r="G11" s="449"/>
      <c r="H11" s="458"/>
      <c r="I11" s="470"/>
      <c r="J11" s="449"/>
      <c r="K11" s="449"/>
      <c r="L11" s="449"/>
      <c r="M11" s="449"/>
      <c r="N11" s="383">
        <v>45747</v>
      </c>
      <c r="O11" s="455"/>
      <c r="P11" s="376">
        <v>390</v>
      </c>
      <c r="Q11" s="377">
        <v>45757</v>
      </c>
      <c r="R11" s="378"/>
      <c r="S11" s="376"/>
      <c r="T11" s="376"/>
      <c r="U11" s="458"/>
      <c r="V11" s="461"/>
      <c r="W11" s="464"/>
      <c r="X11" s="190">
        <v>23</v>
      </c>
    </row>
    <row r="12" spans="1:24" s="215" customFormat="1" x14ac:dyDescent="0.3">
      <c r="A12" s="452"/>
      <c r="B12" s="449"/>
      <c r="C12" s="449"/>
      <c r="D12" s="449"/>
      <c r="E12" s="467"/>
      <c r="F12" s="455"/>
      <c r="G12" s="449"/>
      <c r="H12" s="458"/>
      <c r="I12" s="470"/>
      <c r="J12" s="449"/>
      <c r="K12" s="449"/>
      <c r="L12" s="449"/>
      <c r="M12" s="449"/>
      <c r="N12" s="383">
        <v>45777</v>
      </c>
      <c r="O12" s="455"/>
      <c r="P12" s="376">
        <v>390</v>
      </c>
      <c r="Q12" s="377">
        <v>45797</v>
      </c>
      <c r="R12" s="378"/>
      <c r="S12" s="376"/>
      <c r="T12" s="376"/>
      <c r="U12" s="458"/>
      <c r="V12" s="461"/>
      <c r="W12" s="464"/>
      <c r="X12" s="215">
        <v>23</v>
      </c>
    </row>
    <row r="13" spans="1:24" s="215" customFormat="1" x14ac:dyDescent="0.3">
      <c r="A13" s="452"/>
      <c r="B13" s="449"/>
      <c r="C13" s="449"/>
      <c r="D13" s="449"/>
      <c r="E13" s="467"/>
      <c r="F13" s="455"/>
      <c r="G13" s="449"/>
      <c r="H13" s="458"/>
      <c r="I13" s="470"/>
      <c r="J13" s="449"/>
      <c r="K13" s="449"/>
      <c r="L13" s="449"/>
      <c r="M13" s="449"/>
      <c r="N13" s="383">
        <v>45808</v>
      </c>
      <c r="O13" s="455"/>
      <c r="P13" s="376">
        <v>390</v>
      </c>
      <c r="Q13" s="377">
        <v>45818</v>
      </c>
      <c r="R13" s="378"/>
      <c r="S13" s="376"/>
      <c r="T13" s="376"/>
      <c r="U13" s="458"/>
      <c r="V13" s="461"/>
      <c r="W13" s="464"/>
      <c r="X13" s="215">
        <v>23</v>
      </c>
    </row>
    <row r="14" spans="1:24" s="291" customFormat="1" x14ac:dyDescent="0.3">
      <c r="A14" s="452"/>
      <c r="B14" s="449"/>
      <c r="C14" s="449"/>
      <c r="D14" s="449"/>
      <c r="E14" s="467"/>
      <c r="F14" s="455"/>
      <c r="G14" s="449"/>
      <c r="H14" s="458"/>
      <c r="I14" s="470"/>
      <c r="J14" s="449"/>
      <c r="K14" s="449"/>
      <c r="L14" s="449"/>
      <c r="M14" s="449"/>
      <c r="N14" s="383">
        <v>45838</v>
      </c>
      <c r="O14" s="455"/>
      <c r="P14" s="376">
        <v>390</v>
      </c>
      <c r="Q14" s="377">
        <v>45853</v>
      </c>
      <c r="R14" s="378"/>
      <c r="S14" s="376"/>
      <c r="T14" s="376"/>
      <c r="U14" s="458"/>
      <c r="V14" s="461"/>
      <c r="W14" s="464"/>
      <c r="X14" s="291">
        <v>23</v>
      </c>
    </row>
    <row r="15" spans="1:24" s="362" customFormat="1" x14ac:dyDescent="0.3">
      <c r="A15" s="453"/>
      <c r="B15" s="450"/>
      <c r="C15" s="450"/>
      <c r="D15" s="450"/>
      <c r="E15" s="468"/>
      <c r="F15" s="456"/>
      <c r="G15" s="450"/>
      <c r="H15" s="459"/>
      <c r="I15" s="471"/>
      <c r="J15" s="450"/>
      <c r="K15" s="450"/>
      <c r="L15" s="450"/>
      <c r="M15" s="450"/>
      <c r="N15" s="384">
        <v>45869</v>
      </c>
      <c r="O15" s="456"/>
      <c r="P15" s="379">
        <v>390</v>
      </c>
      <c r="Q15" s="380">
        <v>45889</v>
      </c>
      <c r="R15" s="381"/>
      <c r="S15" s="379"/>
      <c r="T15" s="379"/>
      <c r="U15" s="459"/>
      <c r="V15" s="462"/>
      <c r="W15" s="465"/>
      <c r="X15" s="362">
        <v>23</v>
      </c>
    </row>
    <row r="16" spans="1:24" s="105" customFormat="1" ht="144" x14ac:dyDescent="0.3">
      <c r="A16" s="116">
        <v>2</v>
      </c>
      <c r="B16" s="117" t="s">
        <v>56</v>
      </c>
      <c r="C16" s="117" t="s">
        <v>146</v>
      </c>
      <c r="D16" s="117" t="s">
        <v>147</v>
      </c>
      <c r="E16" s="139" t="s">
        <v>215</v>
      </c>
      <c r="F16" s="141">
        <v>45702</v>
      </c>
      <c r="G16" s="130" t="s">
        <v>216</v>
      </c>
      <c r="H16" s="118">
        <v>28904.9</v>
      </c>
      <c r="I16" s="119">
        <f>IF(X16 = 35, H16 + SUM(S16:S16) - SUM(T16:T16) - SUM(P16:P16) - V16,0)</f>
        <v>0</v>
      </c>
      <c r="J16" s="117" t="s">
        <v>217</v>
      </c>
      <c r="K16" s="130" t="s">
        <v>218</v>
      </c>
      <c r="L16" s="117" t="s">
        <v>146</v>
      </c>
      <c r="M16" s="117"/>
      <c r="N16" s="141">
        <v>45720</v>
      </c>
      <c r="O16" s="141" t="s">
        <v>183</v>
      </c>
      <c r="P16" s="118">
        <v>28904.9</v>
      </c>
      <c r="Q16" s="120">
        <v>45733</v>
      </c>
      <c r="R16" s="117"/>
      <c r="S16" s="118"/>
      <c r="T16" s="118"/>
      <c r="U16" s="118"/>
      <c r="V16" s="140"/>
      <c r="W16" s="138"/>
      <c r="X16" s="105">
        <v>35</v>
      </c>
    </row>
    <row r="17" spans="1:24" s="105" customFormat="1" ht="144" x14ac:dyDescent="0.3">
      <c r="A17" s="116">
        <v>3</v>
      </c>
      <c r="B17" s="117" t="s">
        <v>56</v>
      </c>
      <c r="C17" s="117" t="s">
        <v>146</v>
      </c>
      <c r="D17" s="117" t="s">
        <v>147</v>
      </c>
      <c r="E17" s="139">
        <v>9</v>
      </c>
      <c r="F17" s="141">
        <v>45713</v>
      </c>
      <c r="G17" s="117" t="s">
        <v>226</v>
      </c>
      <c r="H17" s="118">
        <v>22668</v>
      </c>
      <c r="I17" s="119">
        <f>IF(X17 = 37, H17 + SUM(S17:S17) - SUM(T17:T17) - SUM(P17:P17) - V17,0)</f>
        <v>0</v>
      </c>
      <c r="J17" s="117" t="s">
        <v>227</v>
      </c>
      <c r="K17" s="117" t="s">
        <v>228</v>
      </c>
      <c r="L17" s="117" t="s">
        <v>146</v>
      </c>
      <c r="M17" s="117"/>
      <c r="N17" s="141">
        <v>45713</v>
      </c>
      <c r="O17" s="141" t="s">
        <v>183</v>
      </c>
      <c r="P17" s="118">
        <v>22668</v>
      </c>
      <c r="Q17" s="120">
        <v>45715</v>
      </c>
      <c r="R17" s="117"/>
      <c r="S17" s="118"/>
      <c r="T17" s="118"/>
      <c r="U17" s="118"/>
      <c r="V17" s="140"/>
      <c r="W17" s="138"/>
      <c r="X17" s="105">
        <v>37</v>
      </c>
    </row>
    <row r="18" spans="1:24" s="105" customFormat="1" ht="144" x14ac:dyDescent="0.3">
      <c r="A18" s="153">
        <v>4</v>
      </c>
      <c r="B18" s="154" t="s">
        <v>56</v>
      </c>
      <c r="C18" s="154" t="s">
        <v>146</v>
      </c>
      <c r="D18" s="154" t="s">
        <v>147</v>
      </c>
      <c r="E18" s="172">
        <v>10</v>
      </c>
      <c r="F18" s="162">
        <v>45708</v>
      </c>
      <c r="G18" s="154" t="s">
        <v>232</v>
      </c>
      <c r="H18" s="157">
        <v>66750</v>
      </c>
      <c r="I18" s="158">
        <f>IF(X18 = 40, H18 + SUM(S18:S18) - SUM(T18:T18) - SUM(P18:P18) - V18,0)</f>
        <v>0</v>
      </c>
      <c r="J18" s="154" t="s">
        <v>233</v>
      </c>
      <c r="K18" s="154" t="s">
        <v>210</v>
      </c>
      <c r="L18" s="154" t="s">
        <v>146</v>
      </c>
      <c r="M18" s="154"/>
      <c r="N18" s="162">
        <v>45713</v>
      </c>
      <c r="O18" s="162" t="s">
        <v>183</v>
      </c>
      <c r="P18" s="157">
        <v>66750</v>
      </c>
      <c r="Q18" s="156">
        <v>45715</v>
      </c>
      <c r="R18" s="154"/>
      <c r="S18" s="157"/>
      <c r="T18" s="157"/>
      <c r="U18" s="157"/>
      <c r="V18" s="173"/>
      <c r="W18" s="151"/>
      <c r="X18" s="105">
        <v>40</v>
      </c>
    </row>
    <row r="19" spans="1:24" s="105" customFormat="1" ht="144" customHeight="1" x14ac:dyDescent="0.3">
      <c r="A19" s="451">
        <v>5</v>
      </c>
      <c r="B19" s="448" t="s">
        <v>56</v>
      </c>
      <c r="C19" s="448" t="s">
        <v>146</v>
      </c>
      <c r="D19" s="448" t="s">
        <v>147</v>
      </c>
      <c r="E19" s="466">
        <v>166</v>
      </c>
      <c r="F19" s="454">
        <v>45734</v>
      </c>
      <c r="G19" s="448" t="s">
        <v>239</v>
      </c>
      <c r="H19" s="457">
        <v>15632.75</v>
      </c>
      <c r="I19" s="469">
        <f>IF(X19 = 41, H19 + SUM(S19:S30) - SUM(T19:T30) - SUM(P19:P30) - V19,0)</f>
        <v>4016.9699999999993</v>
      </c>
      <c r="J19" s="448" t="s">
        <v>240</v>
      </c>
      <c r="K19" s="448" t="s">
        <v>241</v>
      </c>
      <c r="L19" s="448" t="s">
        <v>146</v>
      </c>
      <c r="M19" s="448"/>
      <c r="N19" s="382">
        <v>45742</v>
      </c>
      <c r="O19" s="454" t="s">
        <v>183</v>
      </c>
      <c r="P19" s="373">
        <v>1317.73</v>
      </c>
      <c r="Q19" s="374">
        <v>45742</v>
      </c>
      <c r="R19" s="375"/>
      <c r="S19" s="373"/>
      <c r="T19" s="373"/>
      <c r="U19" s="457"/>
      <c r="V19" s="460"/>
      <c r="W19" s="463"/>
      <c r="X19" s="105">
        <v>41</v>
      </c>
    </row>
    <row r="20" spans="1:24" s="152" customFormat="1" x14ac:dyDescent="0.3">
      <c r="A20" s="452"/>
      <c r="B20" s="449"/>
      <c r="C20" s="449"/>
      <c r="D20" s="449"/>
      <c r="E20" s="467"/>
      <c r="F20" s="455"/>
      <c r="G20" s="449"/>
      <c r="H20" s="458"/>
      <c r="I20" s="470"/>
      <c r="J20" s="449"/>
      <c r="K20" s="449"/>
      <c r="L20" s="449"/>
      <c r="M20" s="449"/>
      <c r="N20" s="383">
        <v>45742</v>
      </c>
      <c r="O20" s="455"/>
      <c r="P20" s="376">
        <v>337.44</v>
      </c>
      <c r="Q20" s="377">
        <v>45742</v>
      </c>
      <c r="R20" s="378"/>
      <c r="S20" s="376"/>
      <c r="T20" s="376"/>
      <c r="U20" s="458"/>
      <c r="V20" s="461"/>
      <c r="W20" s="464"/>
      <c r="X20" s="152">
        <v>41</v>
      </c>
    </row>
    <row r="21" spans="1:24" s="152" customFormat="1" x14ac:dyDescent="0.3">
      <c r="A21" s="452"/>
      <c r="B21" s="449"/>
      <c r="C21" s="449"/>
      <c r="D21" s="449"/>
      <c r="E21" s="467"/>
      <c r="F21" s="455"/>
      <c r="G21" s="449"/>
      <c r="H21" s="458"/>
      <c r="I21" s="470"/>
      <c r="J21" s="449"/>
      <c r="K21" s="449"/>
      <c r="L21" s="449"/>
      <c r="M21" s="449"/>
      <c r="N21" s="396">
        <v>45742</v>
      </c>
      <c r="O21" s="455"/>
      <c r="P21" s="376">
        <v>1136.08</v>
      </c>
      <c r="Q21" s="395">
        <v>45742</v>
      </c>
      <c r="R21" s="378"/>
      <c r="S21" s="376"/>
      <c r="T21" s="376"/>
      <c r="U21" s="458"/>
      <c r="V21" s="461"/>
      <c r="W21" s="464"/>
      <c r="X21" s="152">
        <v>41</v>
      </c>
    </row>
    <row r="22" spans="1:24" s="190" customFormat="1" x14ac:dyDescent="0.3">
      <c r="A22" s="452"/>
      <c r="B22" s="449"/>
      <c r="C22" s="449"/>
      <c r="D22" s="449"/>
      <c r="E22" s="467"/>
      <c r="F22" s="455"/>
      <c r="G22" s="449"/>
      <c r="H22" s="458"/>
      <c r="I22" s="470"/>
      <c r="J22" s="449"/>
      <c r="K22" s="449"/>
      <c r="L22" s="449"/>
      <c r="M22" s="449"/>
      <c r="N22" s="383">
        <v>45747</v>
      </c>
      <c r="O22" s="455"/>
      <c r="P22" s="376">
        <v>1177.33</v>
      </c>
      <c r="Q22" s="377">
        <v>45756</v>
      </c>
      <c r="R22" s="378"/>
      <c r="S22" s="376"/>
      <c r="T22" s="376"/>
      <c r="U22" s="458"/>
      <c r="V22" s="461"/>
      <c r="W22" s="464"/>
      <c r="X22" s="190">
        <v>41</v>
      </c>
    </row>
    <row r="23" spans="1:24" s="215" customFormat="1" x14ac:dyDescent="0.3">
      <c r="A23" s="452"/>
      <c r="B23" s="449"/>
      <c r="C23" s="449"/>
      <c r="D23" s="449"/>
      <c r="E23" s="467"/>
      <c r="F23" s="455"/>
      <c r="G23" s="449"/>
      <c r="H23" s="458"/>
      <c r="I23" s="470"/>
      <c r="J23" s="449"/>
      <c r="K23" s="449"/>
      <c r="L23" s="449"/>
      <c r="M23" s="449"/>
      <c r="N23" s="383">
        <v>45777</v>
      </c>
      <c r="O23" s="455"/>
      <c r="P23" s="376">
        <v>38.81</v>
      </c>
      <c r="Q23" s="377">
        <v>45789</v>
      </c>
      <c r="R23" s="378"/>
      <c r="S23" s="376"/>
      <c r="T23" s="376"/>
      <c r="U23" s="458"/>
      <c r="V23" s="461"/>
      <c r="W23" s="464"/>
      <c r="X23" s="215">
        <v>41</v>
      </c>
    </row>
    <row r="24" spans="1:24" s="215" customFormat="1" x14ac:dyDescent="0.3">
      <c r="A24" s="452"/>
      <c r="B24" s="449"/>
      <c r="C24" s="449"/>
      <c r="D24" s="449"/>
      <c r="E24" s="467"/>
      <c r="F24" s="455"/>
      <c r="G24" s="449"/>
      <c r="H24" s="458"/>
      <c r="I24" s="470"/>
      <c r="J24" s="449"/>
      <c r="K24" s="449"/>
      <c r="L24" s="449"/>
      <c r="M24" s="449"/>
      <c r="N24" s="383">
        <v>45777</v>
      </c>
      <c r="O24" s="455"/>
      <c r="P24" s="376">
        <v>1124.69</v>
      </c>
      <c r="Q24" s="377">
        <v>45789</v>
      </c>
      <c r="R24" s="378"/>
      <c r="S24" s="376"/>
      <c r="T24" s="376"/>
      <c r="U24" s="458"/>
      <c r="V24" s="461"/>
      <c r="W24" s="464"/>
      <c r="X24" s="215">
        <v>41</v>
      </c>
    </row>
    <row r="25" spans="1:24" s="215" customFormat="1" x14ac:dyDescent="0.3">
      <c r="A25" s="452"/>
      <c r="B25" s="449"/>
      <c r="C25" s="449"/>
      <c r="D25" s="449"/>
      <c r="E25" s="467"/>
      <c r="F25" s="455"/>
      <c r="G25" s="449"/>
      <c r="H25" s="458"/>
      <c r="I25" s="470"/>
      <c r="J25" s="449"/>
      <c r="K25" s="449"/>
      <c r="L25" s="449"/>
      <c r="M25" s="449"/>
      <c r="N25" s="383">
        <v>45808</v>
      </c>
      <c r="O25" s="455"/>
      <c r="P25" s="376">
        <v>1408.56</v>
      </c>
      <c r="Q25" s="377">
        <v>45812</v>
      </c>
      <c r="R25" s="378"/>
      <c r="S25" s="376"/>
      <c r="T25" s="376"/>
      <c r="U25" s="458"/>
      <c r="V25" s="461"/>
      <c r="W25" s="464"/>
      <c r="X25" s="215">
        <v>41</v>
      </c>
    </row>
    <row r="26" spans="1:24" s="215" customFormat="1" x14ac:dyDescent="0.3">
      <c r="A26" s="452"/>
      <c r="B26" s="449"/>
      <c r="C26" s="449"/>
      <c r="D26" s="449"/>
      <c r="E26" s="467"/>
      <c r="F26" s="455"/>
      <c r="G26" s="449"/>
      <c r="H26" s="458"/>
      <c r="I26" s="470"/>
      <c r="J26" s="449"/>
      <c r="K26" s="449"/>
      <c r="L26" s="449"/>
      <c r="M26" s="449"/>
      <c r="N26" s="383">
        <v>45808</v>
      </c>
      <c r="O26" s="455"/>
      <c r="P26" s="376">
        <v>1618.63</v>
      </c>
      <c r="Q26" s="377">
        <v>45812</v>
      </c>
      <c r="R26" s="378"/>
      <c r="S26" s="376"/>
      <c r="T26" s="376"/>
      <c r="U26" s="458"/>
      <c r="V26" s="461"/>
      <c r="W26" s="464"/>
      <c r="X26" s="215">
        <v>41</v>
      </c>
    </row>
    <row r="27" spans="1:24" s="291" customFormat="1" x14ac:dyDescent="0.3">
      <c r="A27" s="452"/>
      <c r="B27" s="449"/>
      <c r="C27" s="449"/>
      <c r="D27" s="449"/>
      <c r="E27" s="467"/>
      <c r="F27" s="455"/>
      <c r="G27" s="449"/>
      <c r="H27" s="458"/>
      <c r="I27" s="470"/>
      <c r="J27" s="449"/>
      <c r="K27" s="449"/>
      <c r="L27" s="449"/>
      <c r="M27" s="449"/>
      <c r="N27" s="383">
        <v>45838</v>
      </c>
      <c r="O27" s="455"/>
      <c r="P27" s="376">
        <v>1161.4100000000001</v>
      </c>
      <c r="Q27" s="377">
        <v>45847</v>
      </c>
      <c r="R27" s="378"/>
      <c r="S27" s="376"/>
      <c r="T27" s="376"/>
      <c r="U27" s="458"/>
      <c r="V27" s="461"/>
      <c r="W27" s="464"/>
      <c r="X27" s="291">
        <v>41</v>
      </c>
    </row>
    <row r="28" spans="1:24" s="291" customFormat="1" x14ac:dyDescent="0.3">
      <c r="A28" s="452"/>
      <c r="B28" s="449"/>
      <c r="C28" s="449"/>
      <c r="D28" s="449"/>
      <c r="E28" s="467"/>
      <c r="F28" s="455"/>
      <c r="G28" s="449"/>
      <c r="H28" s="458"/>
      <c r="I28" s="470"/>
      <c r="J28" s="449"/>
      <c r="K28" s="449"/>
      <c r="L28" s="449"/>
      <c r="M28" s="449"/>
      <c r="N28" s="383">
        <v>45838</v>
      </c>
      <c r="O28" s="455"/>
      <c r="P28" s="376">
        <v>956.02</v>
      </c>
      <c r="Q28" s="377">
        <v>45847</v>
      </c>
      <c r="R28" s="378"/>
      <c r="S28" s="376"/>
      <c r="T28" s="376"/>
      <c r="U28" s="458"/>
      <c r="V28" s="461"/>
      <c r="W28" s="464"/>
      <c r="X28" s="291">
        <v>41</v>
      </c>
    </row>
    <row r="29" spans="1:24" s="362" customFormat="1" x14ac:dyDescent="0.3">
      <c r="A29" s="452"/>
      <c r="B29" s="449"/>
      <c r="C29" s="449"/>
      <c r="D29" s="449"/>
      <c r="E29" s="467"/>
      <c r="F29" s="455"/>
      <c r="G29" s="449"/>
      <c r="H29" s="458"/>
      <c r="I29" s="470"/>
      <c r="J29" s="449"/>
      <c r="K29" s="449"/>
      <c r="L29" s="449"/>
      <c r="M29" s="449"/>
      <c r="N29" s="383">
        <v>45869</v>
      </c>
      <c r="O29" s="455"/>
      <c r="P29" s="376">
        <v>1324.01</v>
      </c>
      <c r="Q29" s="377">
        <v>45882</v>
      </c>
      <c r="R29" s="378"/>
      <c r="S29" s="376"/>
      <c r="T29" s="376"/>
      <c r="U29" s="458"/>
      <c r="V29" s="461"/>
      <c r="W29" s="464"/>
      <c r="X29" s="362">
        <v>41</v>
      </c>
    </row>
    <row r="30" spans="1:24" s="362" customFormat="1" x14ac:dyDescent="0.3">
      <c r="A30" s="453"/>
      <c r="B30" s="450"/>
      <c r="C30" s="450"/>
      <c r="D30" s="450"/>
      <c r="E30" s="468"/>
      <c r="F30" s="456"/>
      <c r="G30" s="450"/>
      <c r="H30" s="459"/>
      <c r="I30" s="471"/>
      <c r="J30" s="450"/>
      <c r="K30" s="450"/>
      <c r="L30" s="450"/>
      <c r="M30" s="450"/>
      <c r="N30" s="384">
        <v>45869</v>
      </c>
      <c r="O30" s="456"/>
      <c r="P30" s="379">
        <v>15.07</v>
      </c>
      <c r="Q30" s="380">
        <v>45882</v>
      </c>
      <c r="R30" s="381"/>
      <c r="S30" s="379"/>
      <c r="T30" s="379"/>
      <c r="U30" s="459"/>
      <c r="V30" s="462"/>
      <c r="W30" s="465"/>
      <c r="X30" s="362">
        <v>41</v>
      </c>
    </row>
    <row r="31" spans="1:24" s="105" customFormat="1" ht="144" x14ac:dyDescent="0.3">
      <c r="A31" s="153">
        <v>6</v>
      </c>
      <c r="B31" s="154" t="s">
        <v>56</v>
      </c>
      <c r="C31" s="154" t="s">
        <v>146</v>
      </c>
      <c r="D31" s="154" t="s">
        <v>147</v>
      </c>
      <c r="E31" s="155">
        <v>45735</v>
      </c>
      <c r="F31" s="162">
        <v>45735</v>
      </c>
      <c r="G31" s="154" t="s">
        <v>242</v>
      </c>
      <c r="H31" s="157">
        <v>10935</v>
      </c>
      <c r="I31" s="158">
        <f>IF(X31 = 42, H31 + SUM(S31:S31) - SUM(T31:T31) - SUM(P31:P31) - V31,0)</f>
        <v>0</v>
      </c>
      <c r="J31" s="154" t="s">
        <v>243</v>
      </c>
      <c r="K31" s="154" t="s">
        <v>244</v>
      </c>
      <c r="L31" s="154" t="s">
        <v>146</v>
      </c>
      <c r="M31" s="154"/>
      <c r="N31" s="162">
        <v>45736</v>
      </c>
      <c r="O31" s="162" t="s">
        <v>183</v>
      </c>
      <c r="P31" s="157">
        <v>10935</v>
      </c>
      <c r="Q31" s="156">
        <v>45736</v>
      </c>
      <c r="R31" s="154"/>
      <c r="S31" s="157"/>
      <c r="T31" s="157"/>
      <c r="U31" s="157"/>
      <c r="V31" s="173"/>
      <c r="W31" s="151"/>
      <c r="X31" s="105">
        <v>42</v>
      </c>
    </row>
    <row r="32" spans="1:24" s="105" customFormat="1" ht="144" x14ac:dyDescent="0.3">
      <c r="A32" s="176">
        <v>7</v>
      </c>
      <c r="B32" s="184" t="s">
        <v>56</v>
      </c>
      <c r="C32" s="184" t="s">
        <v>146</v>
      </c>
      <c r="D32" s="184" t="s">
        <v>147</v>
      </c>
      <c r="E32" s="183" t="s">
        <v>251</v>
      </c>
      <c r="F32" s="189">
        <v>45744</v>
      </c>
      <c r="G32" s="184" t="s">
        <v>252</v>
      </c>
      <c r="H32" s="178">
        <v>8000</v>
      </c>
      <c r="I32" s="179">
        <f>IF(X32 = 43, H32 + SUM(S32:S32) - SUM(T32:T32) - SUM(P32:P32) - V32,0)</f>
        <v>0</v>
      </c>
      <c r="J32" s="184" t="s">
        <v>253</v>
      </c>
      <c r="K32" s="184" t="s">
        <v>231</v>
      </c>
      <c r="L32" s="184" t="s">
        <v>146</v>
      </c>
      <c r="M32" s="184"/>
      <c r="N32" s="189">
        <v>45814</v>
      </c>
      <c r="O32" s="189" t="s">
        <v>183</v>
      </c>
      <c r="P32" s="178">
        <v>8000</v>
      </c>
      <c r="Q32" s="177">
        <v>45818</v>
      </c>
      <c r="R32" s="184"/>
      <c r="S32" s="178"/>
      <c r="T32" s="178"/>
      <c r="U32" s="178"/>
      <c r="V32" s="188"/>
      <c r="W32" s="185"/>
      <c r="X32" s="105">
        <v>43</v>
      </c>
    </row>
    <row r="33" spans="1:24" s="105" customFormat="1" ht="144" x14ac:dyDescent="0.3">
      <c r="A33" s="176">
        <v>8</v>
      </c>
      <c r="B33" s="184" t="s">
        <v>56</v>
      </c>
      <c r="C33" s="184" t="s">
        <v>146</v>
      </c>
      <c r="D33" s="184" t="s">
        <v>147</v>
      </c>
      <c r="E33" s="183" t="s">
        <v>254</v>
      </c>
      <c r="F33" s="189">
        <v>45749</v>
      </c>
      <c r="G33" s="184" t="s">
        <v>255</v>
      </c>
      <c r="H33" s="178">
        <v>8800</v>
      </c>
      <c r="I33" s="179">
        <f>IF(X33 = 44, H33 + SUM(S33:S33) - SUM(T33:T33) - SUM(P33:P33) - V33,0)</f>
        <v>0</v>
      </c>
      <c r="J33" s="184" t="s">
        <v>256</v>
      </c>
      <c r="K33" s="184" t="s">
        <v>257</v>
      </c>
      <c r="L33" s="184" t="s">
        <v>146</v>
      </c>
      <c r="M33" s="184"/>
      <c r="N33" s="189">
        <v>45749</v>
      </c>
      <c r="O33" s="189" t="s">
        <v>183</v>
      </c>
      <c r="P33" s="178">
        <v>8800</v>
      </c>
      <c r="Q33" s="177">
        <v>45750</v>
      </c>
      <c r="R33" s="184"/>
      <c r="S33" s="178"/>
      <c r="T33" s="178"/>
      <c r="U33" s="178"/>
      <c r="V33" s="188"/>
      <c r="W33" s="185"/>
      <c r="X33" s="105">
        <v>44</v>
      </c>
    </row>
    <row r="34" spans="1:24" s="105" customFormat="1" ht="144" customHeight="1" x14ac:dyDescent="0.3">
      <c r="A34" s="512">
        <v>9</v>
      </c>
      <c r="B34" s="505" t="s">
        <v>56</v>
      </c>
      <c r="C34" s="505" t="s">
        <v>146</v>
      </c>
      <c r="D34" s="505" t="s">
        <v>147</v>
      </c>
      <c r="E34" s="514" t="s">
        <v>261</v>
      </c>
      <c r="F34" s="514">
        <v>45755</v>
      </c>
      <c r="G34" s="505" t="s">
        <v>262</v>
      </c>
      <c r="H34" s="516">
        <v>5500</v>
      </c>
      <c r="I34" s="532">
        <f>IF(X34 = 45, H34 + SUM(S34:S35) - SUM(T34:T35) - SUM(P34:P35) - V34,0)</f>
        <v>0</v>
      </c>
      <c r="J34" s="505" t="s">
        <v>263</v>
      </c>
      <c r="K34" s="505" t="s">
        <v>264</v>
      </c>
      <c r="L34" s="505" t="s">
        <v>146</v>
      </c>
      <c r="M34" s="505"/>
      <c r="N34" s="201"/>
      <c r="O34" s="514" t="s">
        <v>183</v>
      </c>
      <c r="P34" s="192">
        <v>1650</v>
      </c>
      <c r="Q34" s="193">
        <v>45757</v>
      </c>
      <c r="R34" s="194"/>
      <c r="S34" s="192"/>
      <c r="T34" s="192"/>
      <c r="U34" s="516"/>
      <c r="V34" s="530"/>
      <c r="W34" s="536"/>
      <c r="X34" s="105">
        <v>45</v>
      </c>
    </row>
    <row r="35" spans="1:24" s="190" customFormat="1" x14ac:dyDescent="0.3">
      <c r="A35" s="513"/>
      <c r="B35" s="506"/>
      <c r="C35" s="506"/>
      <c r="D35" s="506"/>
      <c r="E35" s="515"/>
      <c r="F35" s="515"/>
      <c r="G35" s="506"/>
      <c r="H35" s="517"/>
      <c r="I35" s="533"/>
      <c r="J35" s="506"/>
      <c r="K35" s="506"/>
      <c r="L35" s="506"/>
      <c r="M35" s="506"/>
      <c r="N35" s="203">
        <v>45758</v>
      </c>
      <c r="O35" s="515"/>
      <c r="P35" s="198">
        <v>3850</v>
      </c>
      <c r="Q35" s="199">
        <v>45761</v>
      </c>
      <c r="R35" s="200"/>
      <c r="S35" s="198"/>
      <c r="T35" s="198"/>
      <c r="U35" s="517"/>
      <c r="V35" s="531"/>
      <c r="W35" s="537"/>
      <c r="X35" s="190">
        <v>45</v>
      </c>
    </row>
    <row r="36" spans="1:24" s="105" customFormat="1" ht="144" x14ac:dyDescent="0.3">
      <c r="A36" s="176">
        <v>10</v>
      </c>
      <c r="B36" s="184" t="s">
        <v>56</v>
      </c>
      <c r="C36" s="184" t="s">
        <v>146</v>
      </c>
      <c r="D36" s="184" t="s">
        <v>147</v>
      </c>
      <c r="E36" s="184">
        <v>22</v>
      </c>
      <c r="F36" s="189">
        <v>45754</v>
      </c>
      <c r="G36" s="184" t="s">
        <v>268</v>
      </c>
      <c r="H36" s="178">
        <v>13473.82</v>
      </c>
      <c r="I36" s="179">
        <f>IF(X36 = 46, H36 + SUM(S36:S36) - SUM(T36:T36) - SUM(P36:P36) - V36,0)</f>
        <v>0</v>
      </c>
      <c r="J36" s="184" t="s">
        <v>267</v>
      </c>
      <c r="K36" s="184" t="s">
        <v>266</v>
      </c>
      <c r="L36" s="184" t="s">
        <v>146</v>
      </c>
      <c r="M36" s="184"/>
      <c r="N36" s="189">
        <v>45756</v>
      </c>
      <c r="O36" s="189" t="s">
        <v>265</v>
      </c>
      <c r="P36" s="178">
        <v>13473.82</v>
      </c>
      <c r="Q36" s="177">
        <v>45757</v>
      </c>
      <c r="R36" s="184"/>
      <c r="S36" s="178"/>
      <c r="T36" s="178"/>
      <c r="U36" s="178"/>
      <c r="V36" s="188"/>
      <c r="W36" s="185"/>
      <c r="X36" s="105">
        <v>46</v>
      </c>
    </row>
    <row r="37" spans="1:24" s="105" customFormat="1" ht="144" x14ac:dyDescent="0.3">
      <c r="A37" s="176">
        <v>11</v>
      </c>
      <c r="B37" s="184" t="s">
        <v>56</v>
      </c>
      <c r="C37" s="184" t="s">
        <v>146</v>
      </c>
      <c r="D37" s="184" t="s">
        <v>147</v>
      </c>
      <c r="E37" s="184" t="s">
        <v>131</v>
      </c>
      <c r="F37" s="189">
        <v>45756</v>
      </c>
      <c r="G37" s="184" t="s">
        <v>269</v>
      </c>
      <c r="H37" s="178">
        <v>9970</v>
      </c>
      <c r="I37" s="179">
        <f>IF(X37 = 47, H37 + SUM(S37:S37) - SUM(T37:T37) - SUM(P37:P37) - V37,0)</f>
        <v>0</v>
      </c>
      <c r="J37" s="184" t="s">
        <v>270</v>
      </c>
      <c r="K37" s="184" t="s">
        <v>271</v>
      </c>
      <c r="L37" s="184" t="s">
        <v>146</v>
      </c>
      <c r="M37" s="184"/>
      <c r="N37" s="189">
        <v>45756</v>
      </c>
      <c r="O37" s="189" t="s">
        <v>183</v>
      </c>
      <c r="P37" s="178">
        <v>9970</v>
      </c>
      <c r="Q37" s="177">
        <v>45757</v>
      </c>
      <c r="R37" s="184"/>
      <c r="S37" s="178"/>
      <c r="T37" s="178"/>
      <c r="U37" s="178"/>
      <c r="V37" s="188"/>
      <c r="W37" s="185"/>
      <c r="X37" s="105">
        <v>47</v>
      </c>
    </row>
    <row r="38" spans="1:24" s="105" customFormat="1" ht="144" x14ac:dyDescent="0.3">
      <c r="A38" s="176">
        <v>12</v>
      </c>
      <c r="B38" s="186" t="s">
        <v>56</v>
      </c>
      <c r="C38" s="186" t="s">
        <v>146</v>
      </c>
      <c r="D38" s="186" t="s">
        <v>147</v>
      </c>
      <c r="E38" s="186" t="s">
        <v>272</v>
      </c>
      <c r="F38" s="191">
        <v>45762</v>
      </c>
      <c r="G38" s="186" t="s">
        <v>273</v>
      </c>
      <c r="H38" s="178">
        <v>4200</v>
      </c>
      <c r="I38" s="179">
        <f>IF(X38 = 48, H38 + SUM(S38:S38) - SUM(T38:T38) - SUM(P38:P38) - V38,0)</f>
        <v>0</v>
      </c>
      <c r="J38" s="186" t="s">
        <v>274</v>
      </c>
      <c r="K38" s="186" t="s">
        <v>159</v>
      </c>
      <c r="L38" s="186" t="s">
        <v>146</v>
      </c>
      <c r="M38" s="186"/>
      <c r="N38" s="191">
        <v>45762</v>
      </c>
      <c r="O38" s="191" t="s">
        <v>183</v>
      </c>
      <c r="P38" s="178">
        <v>4200</v>
      </c>
      <c r="Q38" s="177">
        <v>45771</v>
      </c>
      <c r="R38" s="186"/>
      <c r="S38" s="178"/>
      <c r="T38" s="178"/>
      <c r="U38" s="178"/>
      <c r="V38" s="188"/>
      <c r="W38" s="187"/>
      <c r="X38" s="105">
        <v>48</v>
      </c>
    </row>
    <row r="39" spans="1:24" s="105" customFormat="1" ht="144" x14ac:dyDescent="0.3">
      <c r="A39" s="218">
        <v>13</v>
      </c>
      <c r="B39" s="214" t="s">
        <v>56</v>
      </c>
      <c r="C39" s="214" t="s">
        <v>146</v>
      </c>
      <c r="D39" s="214" t="s">
        <v>147</v>
      </c>
      <c r="E39" s="214" t="s">
        <v>136</v>
      </c>
      <c r="F39" s="225">
        <v>45782</v>
      </c>
      <c r="G39" s="214" t="s">
        <v>278</v>
      </c>
      <c r="H39" s="220">
        <v>80900</v>
      </c>
      <c r="I39" s="221">
        <f>IF(X39 = 49, H39 + SUM(S39:S39) - SUM(T39:T39) - SUM(P39:P39) - V39,0)</f>
        <v>0</v>
      </c>
      <c r="J39" s="214" t="s">
        <v>279</v>
      </c>
      <c r="K39" s="214" t="s">
        <v>280</v>
      </c>
      <c r="L39" s="214" t="s">
        <v>146</v>
      </c>
      <c r="M39" s="214"/>
      <c r="N39" s="225">
        <v>45783</v>
      </c>
      <c r="O39" s="225" t="s">
        <v>183</v>
      </c>
      <c r="P39" s="220">
        <v>80900</v>
      </c>
      <c r="Q39" s="219">
        <v>45789</v>
      </c>
      <c r="R39" s="214"/>
      <c r="S39" s="220"/>
      <c r="T39" s="220"/>
      <c r="U39" s="220"/>
      <c r="V39" s="226"/>
      <c r="W39" s="210"/>
      <c r="X39" s="105">
        <v>49</v>
      </c>
    </row>
    <row r="40" spans="1:24" s="105" customFormat="1" ht="144" x14ac:dyDescent="0.3">
      <c r="A40" s="218">
        <v>14</v>
      </c>
      <c r="B40" s="214" t="s">
        <v>56</v>
      </c>
      <c r="C40" s="214" t="s">
        <v>146</v>
      </c>
      <c r="D40" s="214" t="s">
        <v>147</v>
      </c>
      <c r="E40" s="214" t="s">
        <v>285</v>
      </c>
      <c r="F40" s="225">
        <v>45784</v>
      </c>
      <c r="G40" s="214" t="s">
        <v>286</v>
      </c>
      <c r="H40" s="220">
        <v>29900</v>
      </c>
      <c r="I40" s="221">
        <f>IF(X40 = 50, H40 + SUM(S40:S40) - SUM(T40:T40) - SUM(P40:P40) - V40,0)</f>
        <v>0</v>
      </c>
      <c r="J40" s="214" t="s">
        <v>287</v>
      </c>
      <c r="K40" s="214" t="s">
        <v>288</v>
      </c>
      <c r="L40" s="214" t="s">
        <v>146</v>
      </c>
      <c r="M40" s="214"/>
      <c r="N40" s="225">
        <v>45784</v>
      </c>
      <c r="O40" s="225" t="s">
        <v>183</v>
      </c>
      <c r="P40" s="220">
        <v>29900</v>
      </c>
      <c r="Q40" s="219">
        <v>45791</v>
      </c>
      <c r="R40" s="214"/>
      <c r="S40" s="220"/>
      <c r="T40" s="220"/>
      <c r="U40" s="220"/>
      <c r="V40" s="226"/>
      <c r="W40" s="210"/>
      <c r="X40" s="105">
        <v>50</v>
      </c>
    </row>
    <row r="41" spans="1:24" s="105" customFormat="1" ht="144" customHeight="1" x14ac:dyDescent="0.3">
      <c r="A41" s="518">
        <v>15</v>
      </c>
      <c r="B41" s="495" t="s">
        <v>56</v>
      </c>
      <c r="C41" s="495" t="s">
        <v>146</v>
      </c>
      <c r="D41" s="495" t="s">
        <v>147</v>
      </c>
      <c r="E41" s="495" t="s">
        <v>292</v>
      </c>
      <c r="F41" s="497">
        <v>45789</v>
      </c>
      <c r="G41" s="495" t="s">
        <v>291</v>
      </c>
      <c r="H41" s="499">
        <v>14500</v>
      </c>
      <c r="I41" s="501">
        <f>IF(X41 = 51, H41 + SUM(S41:S42) - SUM(T41:T42) - SUM(P41:P42) - V41,0)</f>
        <v>0</v>
      </c>
      <c r="J41" s="495" t="s">
        <v>290</v>
      </c>
      <c r="K41" s="495" t="s">
        <v>289</v>
      </c>
      <c r="L41" s="495" t="s">
        <v>146</v>
      </c>
      <c r="M41" s="495"/>
      <c r="N41" s="304">
        <v>45789</v>
      </c>
      <c r="O41" s="497" t="s">
        <v>183</v>
      </c>
      <c r="P41" s="298">
        <v>14500</v>
      </c>
      <c r="Q41" s="299">
        <v>45791</v>
      </c>
      <c r="R41" s="300"/>
      <c r="S41" s="298"/>
      <c r="T41" s="298"/>
      <c r="U41" s="499"/>
      <c r="V41" s="503"/>
      <c r="W41" s="493"/>
      <c r="X41" s="105">
        <v>51</v>
      </c>
    </row>
    <row r="42" spans="1:24" s="291" customFormat="1" x14ac:dyDescent="0.3">
      <c r="A42" s="519"/>
      <c r="B42" s="496"/>
      <c r="C42" s="496"/>
      <c r="D42" s="496"/>
      <c r="E42" s="496"/>
      <c r="F42" s="498"/>
      <c r="G42" s="496"/>
      <c r="H42" s="500"/>
      <c r="I42" s="502"/>
      <c r="J42" s="496"/>
      <c r="K42" s="496"/>
      <c r="L42" s="496"/>
      <c r="M42" s="496"/>
      <c r="N42" s="305"/>
      <c r="O42" s="498"/>
      <c r="P42" s="301"/>
      <c r="Q42" s="302"/>
      <c r="R42" s="303"/>
      <c r="S42" s="301"/>
      <c r="T42" s="301"/>
      <c r="U42" s="500"/>
      <c r="V42" s="504"/>
      <c r="W42" s="494"/>
      <c r="X42" s="291">
        <v>51</v>
      </c>
    </row>
    <row r="43" spans="1:24" s="105" customFormat="1" ht="144" x14ac:dyDescent="0.3">
      <c r="A43" s="218">
        <v>16</v>
      </c>
      <c r="B43" s="214" t="s">
        <v>56</v>
      </c>
      <c r="C43" s="214" t="s">
        <v>146</v>
      </c>
      <c r="D43" s="214" t="s">
        <v>147</v>
      </c>
      <c r="E43" s="214" t="s">
        <v>293</v>
      </c>
      <c r="F43" s="225">
        <v>45791</v>
      </c>
      <c r="G43" s="214" t="s">
        <v>294</v>
      </c>
      <c r="H43" s="220">
        <v>11063.61</v>
      </c>
      <c r="I43" s="221">
        <f>IF(X43 = 52, H43 + SUM(S43:S43) - SUM(T43:T43) - SUM(P43:P43) - V43,0)</f>
        <v>0</v>
      </c>
      <c r="J43" s="214" t="s">
        <v>295</v>
      </c>
      <c r="K43" s="214" t="s">
        <v>296</v>
      </c>
      <c r="L43" s="214" t="s">
        <v>146</v>
      </c>
      <c r="M43" s="214"/>
      <c r="N43" s="225">
        <v>45791</v>
      </c>
      <c r="O43" s="225" t="s">
        <v>183</v>
      </c>
      <c r="P43" s="220">
        <v>11063.61</v>
      </c>
      <c r="Q43" s="219">
        <v>45792</v>
      </c>
      <c r="R43" s="214"/>
      <c r="S43" s="220"/>
      <c r="T43" s="220"/>
      <c r="U43" s="220"/>
      <c r="V43" s="226"/>
      <c r="W43" s="210"/>
      <c r="X43" s="105">
        <v>52</v>
      </c>
    </row>
    <row r="44" spans="1:24" s="105" customFormat="1" ht="144" x14ac:dyDescent="0.3">
      <c r="A44" s="218">
        <v>17</v>
      </c>
      <c r="B44" s="216" t="s">
        <v>56</v>
      </c>
      <c r="C44" s="216" t="s">
        <v>146</v>
      </c>
      <c r="D44" s="216" t="s">
        <v>147</v>
      </c>
      <c r="E44" s="216" t="s">
        <v>298</v>
      </c>
      <c r="F44" s="234">
        <v>45796</v>
      </c>
      <c r="G44" s="216" t="s">
        <v>299</v>
      </c>
      <c r="H44" s="220">
        <v>35400</v>
      </c>
      <c r="I44" s="221">
        <f>IF(X44 = 53, H44 + SUM(S44:S44) - SUM(T44:T44) - SUM(P44:P44) - V44,0)</f>
        <v>0</v>
      </c>
      <c r="J44" s="216" t="s">
        <v>300</v>
      </c>
      <c r="K44" s="216" t="s">
        <v>301</v>
      </c>
      <c r="L44" s="216" t="s">
        <v>146</v>
      </c>
      <c r="M44" s="216"/>
      <c r="N44" s="234">
        <v>45797</v>
      </c>
      <c r="O44" s="234" t="s">
        <v>183</v>
      </c>
      <c r="P44" s="220">
        <v>35400</v>
      </c>
      <c r="Q44" s="219">
        <v>45812</v>
      </c>
      <c r="R44" s="216"/>
      <c r="S44" s="220"/>
      <c r="T44" s="220"/>
      <c r="U44" s="220"/>
      <c r="V44" s="226"/>
      <c r="W44" s="217"/>
      <c r="X44" s="105">
        <v>53</v>
      </c>
    </row>
    <row r="45" spans="1:24" s="105" customFormat="1" ht="144" customHeight="1" x14ac:dyDescent="0.3">
      <c r="A45" s="520">
        <v>18</v>
      </c>
      <c r="B45" s="526" t="s">
        <v>56</v>
      </c>
      <c r="C45" s="526" t="s">
        <v>146</v>
      </c>
      <c r="D45" s="526" t="s">
        <v>147</v>
      </c>
      <c r="E45" s="526" t="s">
        <v>304</v>
      </c>
      <c r="F45" s="522">
        <v>45813</v>
      </c>
      <c r="G45" s="526" t="s">
        <v>305</v>
      </c>
      <c r="H45" s="524">
        <v>200000</v>
      </c>
      <c r="I45" s="534">
        <f>IF(X45 = 54, H45 + SUM(S45:S46) - SUM(T45:T46) - SUM(P45:P46) - V45,0)</f>
        <v>0</v>
      </c>
      <c r="J45" s="526" t="s">
        <v>306</v>
      </c>
      <c r="K45" s="526" t="s">
        <v>187</v>
      </c>
      <c r="L45" s="526" t="s">
        <v>146</v>
      </c>
      <c r="M45" s="526"/>
      <c r="N45" s="243">
        <v>45817</v>
      </c>
      <c r="O45" s="522" t="s">
        <v>183</v>
      </c>
      <c r="P45" s="237">
        <v>199803</v>
      </c>
      <c r="Q45" s="238">
        <v>45818</v>
      </c>
      <c r="R45" s="239"/>
      <c r="S45" s="237"/>
      <c r="T45" s="237"/>
      <c r="U45" s="524"/>
      <c r="V45" s="528"/>
      <c r="W45" s="538"/>
      <c r="X45" s="105">
        <v>54</v>
      </c>
    </row>
    <row r="46" spans="1:24" s="235" customFormat="1" x14ac:dyDescent="0.3">
      <c r="A46" s="521"/>
      <c r="B46" s="527"/>
      <c r="C46" s="527"/>
      <c r="D46" s="527"/>
      <c r="E46" s="527"/>
      <c r="F46" s="523"/>
      <c r="G46" s="527"/>
      <c r="H46" s="525"/>
      <c r="I46" s="535"/>
      <c r="J46" s="527"/>
      <c r="K46" s="527"/>
      <c r="L46" s="527"/>
      <c r="M46" s="527"/>
      <c r="N46" s="244">
        <v>45817</v>
      </c>
      <c r="O46" s="523"/>
      <c r="P46" s="240">
        <v>197</v>
      </c>
      <c r="Q46" s="241">
        <v>45818</v>
      </c>
      <c r="R46" s="242"/>
      <c r="S46" s="240"/>
      <c r="T46" s="240"/>
      <c r="U46" s="525"/>
      <c r="V46" s="529"/>
      <c r="W46" s="539"/>
      <c r="X46" s="235">
        <v>54</v>
      </c>
    </row>
    <row r="47" spans="1:24" s="105" customFormat="1" ht="144" x14ac:dyDescent="0.3">
      <c r="A47" s="227">
        <v>19</v>
      </c>
      <c r="B47" s="228" t="s">
        <v>56</v>
      </c>
      <c r="C47" s="228" t="s">
        <v>146</v>
      </c>
      <c r="D47" s="228" t="s">
        <v>147</v>
      </c>
      <c r="E47" s="228" t="s">
        <v>307</v>
      </c>
      <c r="F47" s="236">
        <v>45810</v>
      </c>
      <c r="G47" s="228" t="s">
        <v>262</v>
      </c>
      <c r="H47" s="230">
        <v>4000</v>
      </c>
      <c r="I47" s="231">
        <f>IF(X47 = 55, H47 + SUM(S47:S47) - SUM(T47:T47) - SUM(P47:P47) - V47,0)</f>
        <v>0</v>
      </c>
      <c r="J47" s="228" t="s">
        <v>308</v>
      </c>
      <c r="K47" s="228" t="s">
        <v>309</v>
      </c>
      <c r="L47" s="228" t="s">
        <v>146</v>
      </c>
      <c r="M47" s="228"/>
      <c r="N47" s="236">
        <v>45810</v>
      </c>
      <c r="O47" s="236" t="s">
        <v>183</v>
      </c>
      <c r="P47" s="230">
        <v>4000</v>
      </c>
      <c r="Q47" s="229">
        <v>45810</v>
      </c>
      <c r="R47" s="228"/>
      <c r="S47" s="230"/>
      <c r="T47" s="230"/>
      <c r="U47" s="230"/>
      <c r="V47" s="233"/>
      <c r="W47" s="232"/>
      <c r="X47" s="105">
        <v>55</v>
      </c>
    </row>
    <row r="48" spans="1:24" s="105" customFormat="1" ht="144" x14ac:dyDescent="0.3">
      <c r="A48" s="227">
        <v>20</v>
      </c>
      <c r="B48" s="228" t="s">
        <v>56</v>
      </c>
      <c r="C48" s="228" t="s">
        <v>146</v>
      </c>
      <c r="D48" s="228" t="s">
        <v>147</v>
      </c>
      <c r="E48" s="228" t="s">
        <v>310</v>
      </c>
      <c r="F48" s="236">
        <v>45806</v>
      </c>
      <c r="G48" s="228" t="s">
        <v>311</v>
      </c>
      <c r="H48" s="230">
        <v>3243.23</v>
      </c>
      <c r="I48" s="231">
        <f>IF(X48 = 56, H48 + SUM(S48:S48) - SUM(T48:T48) - SUM(P48:P48) - V48,0)</f>
        <v>0</v>
      </c>
      <c r="J48" s="228" t="s">
        <v>312</v>
      </c>
      <c r="K48" s="228" t="s">
        <v>313</v>
      </c>
      <c r="L48" s="228" t="s">
        <v>146</v>
      </c>
      <c r="M48" s="228"/>
      <c r="N48" s="236">
        <v>45806</v>
      </c>
      <c r="O48" s="234" t="s">
        <v>183</v>
      </c>
      <c r="P48" s="230">
        <v>3243.23</v>
      </c>
      <c r="Q48" s="229">
        <v>45812</v>
      </c>
      <c r="R48" s="228"/>
      <c r="S48" s="230"/>
      <c r="T48" s="230"/>
      <c r="U48" s="230"/>
      <c r="V48" s="233"/>
      <c r="W48" s="232"/>
      <c r="X48" s="105">
        <v>56</v>
      </c>
    </row>
    <row r="49" spans="1:24" s="105" customFormat="1" ht="144" x14ac:dyDescent="0.3">
      <c r="A49" s="227">
        <v>21</v>
      </c>
      <c r="B49" s="228" t="s">
        <v>56</v>
      </c>
      <c r="C49" s="228" t="s">
        <v>146</v>
      </c>
      <c r="D49" s="228" t="s">
        <v>147</v>
      </c>
      <c r="E49" s="228" t="s">
        <v>314</v>
      </c>
      <c r="F49" s="236">
        <v>45806</v>
      </c>
      <c r="G49" s="228" t="s">
        <v>315</v>
      </c>
      <c r="H49" s="230">
        <v>3400</v>
      </c>
      <c r="I49" s="231">
        <f>IF(X49 = 57, H49 + SUM(S49:S49) - SUM(T49:T49) - SUM(P49:P49) - V49,0)</f>
        <v>0</v>
      </c>
      <c r="J49" s="228" t="s">
        <v>312</v>
      </c>
      <c r="K49" s="228" t="s">
        <v>313</v>
      </c>
      <c r="L49" s="228" t="s">
        <v>146</v>
      </c>
      <c r="M49" s="228"/>
      <c r="N49" s="236">
        <v>45806</v>
      </c>
      <c r="O49" s="236" t="s">
        <v>183</v>
      </c>
      <c r="P49" s="230">
        <v>3400</v>
      </c>
      <c r="Q49" s="229">
        <v>45818</v>
      </c>
      <c r="R49" s="228"/>
      <c r="S49" s="230"/>
      <c r="T49" s="230"/>
      <c r="U49" s="230"/>
      <c r="V49" s="233"/>
      <c r="W49" s="232"/>
      <c r="X49" s="105">
        <v>57</v>
      </c>
    </row>
    <row r="50" spans="1:24" s="105" customFormat="1" ht="144" x14ac:dyDescent="0.3">
      <c r="A50" s="227">
        <v>22</v>
      </c>
      <c r="B50" s="228" t="s">
        <v>56</v>
      </c>
      <c r="C50" s="228" t="s">
        <v>146</v>
      </c>
      <c r="D50" s="228" t="s">
        <v>147</v>
      </c>
      <c r="E50" s="228" t="s">
        <v>302</v>
      </c>
      <c r="F50" s="236">
        <v>45813</v>
      </c>
      <c r="G50" s="228" t="s">
        <v>316</v>
      </c>
      <c r="H50" s="230">
        <v>5100</v>
      </c>
      <c r="I50" s="231">
        <f>IF(X50 = 58, H50 + SUM(S50:S50) - SUM(T50:T50) - SUM(P50:P50) - V50,0)</f>
        <v>0</v>
      </c>
      <c r="J50" s="228" t="s">
        <v>267</v>
      </c>
      <c r="K50" s="228" t="s">
        <v>266</v>
      </c>
      <c r="L50" s="228" t="s">
        <v>146</v>
      </c>
      <c r="M50" s="228"/>
      <c r="N50" s="236">
        <v>45814</v>
      </c>
      <c r="O50" s="236" t="s">
        <v>183</v>
      </c>
      <c r="P50" s="230">
        <v>5100</v>
      </c>
      <c r="Q50" s="229">
        <v>45818</v>
      </c>
      <c r="R50" s="228"/>
      <c r="S50" s="230"/>
      <c r="T50" s="230"/>
      <c r="U50" s="230"/>
      <c r="V50" s="233"/>
      <c r="W50" s="232"/>
      <c r="X50" s="105">
        <v>58</v>
      </c>
    </row>
    <row r="51" spans="1:24" s="105" customFormat="1" ht="144" customHeight="1" x14ac:dyDescent="0.3">
      <c r="A51" s="484">
        <v>23</v>
      </c>
      <c r="B51" s="472" t="s">
        <v>56</v>
      </c>
      <c r="C51" s="472" t="s">
        <v>146</v>
      </c>
      <c r="D51" s="472" t="s">
        <v>147</v>
      </c>
      <c r="E51" s="472" t="s">
        <v>317</v>
      </c>
      <c r="F51" s="475">
        <v>45818</v>
      </c>
      <c r="G51" s="472" t="s">
        <v>318</v>
      </c>
      <c r="H51" s="478">
        <v>156096</v>
      </c>
      <c r="I51" s="481">
        <f>IF(X51 = 59, H51 + SUM(S51:S53) - SUM(T51:T53) - SUM(P51:P53) - V51,0)</f>
        <v>0</v>
      </c>
      <c r="J51" s="472" t="s">
        <v>319</v>
      </c>
      <c r="K51" s="472" t="s">
        <v>179</v>
      </c>
      <c r="L51" s="472" t="s">
        <v>146</v>
      </c>
      <c r="M51" s="472"/>
      <c r="N51" s="316">
        <v>45842</v>
      </c>
      <c r="O51" s="475" t="s">
        <v>183</v>
      </c>
      <c r="P51" s="307">
        <v>18363.599999999999</v>
      </c>
      <c r="Q51" s="308">
        <v>45853</v>
      </c>
      <c r="R51" s="309"/>
      <c r="S51" s="307"/>
      <c r="T51" s="307"/>
      <c r="U51" s="478"/>
      <c r="V51" s="487"/>
      <c r="W51" s="490"/>
      <c r="X51" s="105">
        <v>59</v>
      </c>
    </row>
    <row r="52" spans="1:24" s="306" customFormat="1" x14ac:dyDescent="0.3">
      <c r="A52" s="485"/>
      <c r="B52" s="473"/>
      <c r="C52" s="473"/>
      <c r="D52" s="473"/>
      <c r="E52" s="473"/>
      <c r="F52" s="476"/>
      <c r="G52" s="473"/>
      <c r="H52" s="479"/>
      <c r="I52" s="482"/>
      <c r="J52" s="473"/>
      <c r="K52" s="473"/>
      <c r="L52" s="473"/>
      <c r="M52" s="473"/>
      <c r="N52" s="316">
        <v>45842</v>
      </c>
      <c r="O52" s="476"/>
      <c r="P52" s="310">
        <v>109150.2</v>
      </c>
      <c r="Q52" s="311">
        <v>45853</v>
      </c>
      <c r="R52" s="312"/>
      <c r="S52" s="310"/>
      <c r="T52" s="310"/>
      <c r="U52" s="479"/>
      <c r="V52" s="488"/>
      <c r="W52" s="491"/>
      <c r="X52" s="306">
        <v>59</v>
      </c>
    </row>
    <row r="53" spans="1:24" s="306" customFormat="1" x14ac:dyDescent="0.3">
      <c r="A53" s="486"/>
      <c r="B53" s="474"/>
      <c r="C53" s="474"/>
      <c r="D53" s="474"/>
      <c r="E53" s="474"/>
      <c r="F53" s="477"/>
      <c r="G53" s="474"/>
      <c r="H53" s="480"/>
      <c r="I53" s="483"/>
      <c r="J53" s="474"/>
      <c r="K53" s="474"/>
      <c r="L53" s="474"/>
      <c r="M53" s="474"/>
      <c r="N53" s="316">
        <v>45842</v>
      </c>
      <c r="O53" s="477"/>
      <c r="P53" s="313">
        <v>28582.2</v>
      </c>
      <c r="Q53" s="314">
        <v>45853</v>
      </c>
      <c r="R53" s="315"/>
      <c r="S53" s="313"/>
      <c r="T53" s="313"/>
      <c r="U53" s="480"/>
      <c r="V53" s="489"/>
      <c r="W53" s="492"/>
      <c r="X53" s="306">
        <v>59</v>
      </c>
    </row>
    <row r="54" spans="1:24" s="105" customFormat="1" ht="144" x14ac:dyDescent="0.3">
      <c r="A54" s="227">
        <v>24</v>
      </c>
      <c r="B54" s="228" t="s">
        <v>56</v>
      </c>
      <c r="C54" s="228" t="s">
        <v>146</v>
      </c>
      <c r="D54" s="228" t="s">
        <v>147</v>
      </c>
      <c r="E54" s="228" t="s">
        <v>320</v>
      </c>
      <c r="F54" s="236">
        <v>45818</v>
      </c>
      <c r="G54" s="228" t="s">
        <v>321</v>
      </c>
      <c r="H54" s="230">
        <v>17100</v>
      </c>
      <c r="I54" s="231">
        <f>IF(X54 = 60, H54 + SUM(S54:S54) - SUM(T54:T54) - SUM(P54:P54) - V54,0)</f>
        <v>11970</v>
      </c>
      <c r="J54" s="228" t="s">
        <v>322</v>
      </c>
      <c r="K54" s="228" t="s">
        <v>323</v>
      </c>
      <c r="L54" s="228" t="s">
        <v>146</v>
      </c>
      <c r="M54" s="228"/>
      <c r="N54" s="236"/>
      <c r="O54" s="236" t="s">
        <v>324</v>
      </c>
      <c r="P54" s="230">
        <v>5130</v>
      </c>
      <c r="Q54" s="229">
        <v>45826</v>
      </c>
      <c r="R54" s="228"/>
      <c r="S54" s="230"/>
      <c r="T54" s="230"/>
      <c r="U54" s="230"/>
      <c r="V54" s="233"/>
      <c r="W54" s="232"/>
      <c r="X54" s="105">
        <v>60</v>
      </c>
    </row>
    <row r="55" spans="1:24" s="105" customFormat="1" ht="144" customHeight="1" x14ac:dyDescent="0.3">
      <c r="A55" s="520">
        <v>25</v>
      </c>
      <c r="B55" s="526" t="s">
        <v>56</v>
      </c>
      <c r="C55" s="526" t="s">
        <v>146</v>
      </c>
      <c r="D55" s="526" t="s">
        <v>147</v>
      </c>
      <c r="E55" s="526" t="s">
        <v>325</v>
      </c>
      <c r="F55" s="522">
        <v>45831</v>
      </c>
      <c r="G55" s="526" t="s">
        <v>326</v>
      </c>
      <c r="H55" s="524">
        <v>50500</v>
      </c>
      <c r="I55" s="534">
        <f>IF(X55 = 61, H55 + SUM(S55:S56) - SUM(T55:T56) - SUM(P55:P56) - V55,0)</f>
        <v>0</v>
      </c>
      <c r="J55" s="526" t="s">
        <v>327</v>
      </c>
      <c r="K55" s="526" t="s">
        <v>157</v>
      </c>
      <c r="L55" s="526" t="s">
        <v>146</v>
      </c>
      <c r="M55" s="526"/>
      <c r="N55" s="243">
        <v>45831</v>
      </c>
      <c r="O55" s="522" t="s">
        <v>183</v>
      </c>
      <c r="P55" s="237">
        <v>45000</v>
      </c>
      <c r="Q55" s="238">
        <v>45832</v>
      </c>
      <c r="R55" s="239"/>
      <c r="S55" s="237"/>
      <c r="T55" s="237"/>
      <c r="U55" s="524"/>
      <c r="V55" s="528"/>
      <c r="W55" s="538"/>
      <c r="X55" s="105">
        <v>61</v>
      </c>
    </row>
    <row r="56" spans="1:24" s="235" customFormat="1" x14ac:dyDescent="0.3">
      <c r="A56" s="521"/>
      <c r="B56" s="527"/>
      <c r="C56" s="527"/>
      <c r="D56" s="527"/>
      <c r="E56" s="527"/>
      <c r="F56" s="523"/>
      <c r="G56" s="527"/>
      <c r="H56" s="525"/>
      <c r="I56" s="535"/>
      <c r="J56" s="527"/>
      <c r="K56" s="527"/>
      <c r="L56" s="527"/>
      <c r="M56" s="527"/>
      <c r="N56" s="244">
        <v>45831</v>
      </c>
      <c r="O56" s="523"/>
      <c r="P56" s="240">
        <v>5500</v>
      </c>
      <c r="Q56" s="241">
        <v>45832</v>
      </c>
      <c r="R56" s="242"/>
      <c r="S56" s="240"/>
      <c r="T56" s="240"/>
      <c r="U56" s="525"/>
      <c r="V56" s="529"/>
      <c r="W56" s="539"/>
      <c r="X56" s="235">
        <v>61</v>
      </c>
    </row>
    <row r="57" spans="1:24" s="105" customFormat="1" ht="144" x14ac:dyDescent="0.3">
      <c r="A57" s="280">
        <v>26</v>
      </c>
      <c r="B57" s="281" t="s">
        <v>56</v>
      </c>
      <c r="C57" s="281" t="s">
        <v>146</v>
      </c>
      <c r="D57" s="281" t="s">
        <v>147</v>
      </c>
      <c r="E57" s="281" t="s">
        <v>345</v>
      </c>
      <c r="F57" s="289">
        <v>45848</v>
      </c>
      <c r="G57" s="281" t="s">
        <v>346</v>
      </c>
      <c r="H57" s="283">
        <v>19500</v>
      </c>
      <c r="I57" s="284">
        <f>IF(X57 = 62, H57 + SUM(S57:S57) - SUM(T57:T57) - SUM(P57:P57) - V57,0)</f>
        <v>0</v>
      </c>
      <c r="J57" s="281" t="s">
        <v>347</v>
      </c>
      <c r="K57" s="281" t="s">
        <v>348</v>
      </c>
      <c r="L57" s="281" t="s">
        <v>146</v>
      </c>
      <c r="M57" s="281"/>
      <c r="N57" s="289">
        <v>45848</v>
      </c>
      <c r="O57" s="289" t="s">
        <v>183</v>
      </c>
      <c r="P57" s="283">
        <v>19500</v>
      </c>
      <c r="Q57" s="282">
        <v>45853</v>
      </c>
      <c r="R57" s="281"/>
      <c r="S57" s="283"/>
      <c r="T57" s="283"/>
      <c r="U57" s="283"/>
      <c r="V57" s="290"/>
      <c r="W57" s="288"/>
      <c r="X57" s="105">
        <v>62</v>
      </c>
    </row>
    <row r="58" spans="1:24" s="105" customFormat="1" ht="144" x14ac:dyDescent="0.3">
      <c r="A58" s="280">
        <v>27</v>
      </c>
      <c r="B58" s="281" t="s">
        <v>56</v>
      </c>
      <c r="C58" s="281" t="s">
        <v>146</v>
      </c>
      <c r="D58" s="281" t="s">
        <v>147</v>
      </c>
      <c r="E58" s="281" t="s">
        <v>352</v>
      </c>
      <c r="F58" s="289">
        <v>45852</v>
      </c>
      <c r="G58" s="281" t="s">
        <v>351</v>
      </c>
      <c r="H58" s="283">
        <v>8457.4699999999993</v>
      </c>
      <c r="I58" s="284">
        <f>IF(X58 = 63, H58 + SUM(S58:S58) - SUM(T58:T58) - SUM(P58:P58) - V58,0)</f>
        <v>0</v>
      </c>
      <c r="J58" s="281" t="s">
        <v>350</v>
      </c>
      <c r="K58" s="281" t="s">
        <v>349</v>
      </c>
      <c r="L58" s="281" t="s">
        <v>146</v>
      </c>
      <c r="M58" s="281"/>
      <c r="N58" s="289">
        <v>45863</v>
      </c>
      <c r="O58" s="289" t="s">
        <v>183</v>
      </c>
      <c r="P58" s="283">
        <v>8457.4699999999993</v>
      </c>
      <c r="Q58" s="282">
        <v>45869</v>
      </c>
      <c r="R58" s="281"/>
      <c r="S58" s="283"/>
      <c r="T58" s="283"/>
      <c r="U58" s="283"/>
      <c r="V58" s="290"/>
      <c r="W58" s="288"/>
      <c r="X58" s="105">
        <v>63</v>
      </c>
    </row>
    <row r="59" spans="1:24" s="105" customFormat="1" ht="144" x14ac:dyDescent="0.3">
      <c r="A59" s="327">
        <v>28</v>
      </c>
      <c r="B59" s="328" t="s">
        <v>56</v>
      </c>
      <c r="C59" s="328" t="s">
        <v>146</v>
      </c>
      <c r="D59" s="328" t="s">
        <v>147</v>
      </c>
      <c r="E59" s="328" t="s">
        <v>356</v>
      </c>
      <c r="F59" s="333">
        <v>45867</v>
      </c>
      <c r="G59" s="328" t="s">
        <v>357</v>
      </c>
      <c r="H59" s="330">
        <v>4400</v>
      </c>
      <c r="I59" s="331">
        <f>IF(X59 = 64, H59 + SUM(S59:S59) - SUM(T59:T59) - SUM(P59:P59) - V59,0)</f>
        <v>4400</v>
      </c>
      <c r="J59" s="328" t="s">
        <v>358</v>
      </c>
      <c r="K59" s="328" t="s">
        <v>359</v>
      </c>
      <c r="L59" s="328" t="s">
        <v>146</v>
      </c>
      <c r="M59" s="328"/>
      <c r="N59" s="333"/>
      <c r="O59" s="333" t="s">
        <v>183</v>
      </c>
      <c r="P59" s="330"/>
      <c r="Q59" s="329"/>
      <c r="R59" s="328"/>
      <c r="S59" s="330"/>
      <c r="T59" s="330"/>
      <c r="U59" s="330"/>
      <c r="V59" s="334"/>
      <c r="W59" s="324"/>
      <c r="X59" s="105">
        <v>64</v>
      </c>
    </row>
    <row r="60" spans="1:24" s="105" customFormat="1" ht="144" x14ac:dyDescent="0.3">
      <c r="A60" s="342">
        <v>29</v>
      </c>
      <c r="B60" s="343" t="s">
        <v>56</v>
      </c>
      <c r="C60" s="343" t="s">
        <v>146</v>
      </c>
      <c r="D60" s="343" t="s">
        <v>147</v>
      </c>
      <c r="E60" s="343" t="s">
        <v>317</v>
      </c>
      <c r="F60" s="360">
        <v>45853</v>
      </c>
      <c r="G60" s="343" t="s">
        <v>360</v>
      </c>
      <c r="H60" s="345">
        <v>87644.41</v>
      </c>
      <c r="I60" s="346">
        <f>IF(X60 = 65, H60 + SUM(S60:S60) - SUM(T60:T60) - SUM(P60:P60) - V60,0)</f>
        <v>87644.41</v>
      </c>
      <c r="J60" s="343" t="s">
        <v>364</v>
      </c>
      <c r="K60" s="343" t="s">
        <v>365</v>
      </c>
      <c r="L60" s="343" t="s">
        <v>146</v>
      </c>
      <c r="M60" s="343"/>
      <c r="N60" s="360"/>
      <c r="O60" s="360" t="s">
        <v>183</v>
      </c>
      <c r="P60" s="345"/>
      <c r="Q60" s="344"/>
      <c r="R60" s="343"/>
      <c r="S60" s="345"/>
      <c r="T60" s="345"/>
      <c r="U60" s="345"/>
      <c r="V60" s="361"/>
      <c r="W60" s="350"/>
      <c r="X60" s="105">
        <v>65</v>
      </c>
    </row>
    <row r="61" spans="1:24" s="105" customFormat="1" ht="144" customHeight="1" x14ac:dyDescent="0.3">
      <c r="A61" s="451">
        <v>30</v>
      </c>
      <c r="B61" s="448" t="s">
        <v>56</v>
      </c>
      <c r="C61" s="448" t="s">
        <v>146</v>
      </c>
      <c r="D61" s="448" t="s">
        <v>147</v>
      </c>
      <c r="E61" s="448" t="s">
        <v>366</v>
      </c>
      <c r="F61" s="454">
        <v>45875</v>
      </c>
      <c r="G61" s="448" t="s">
        <v>326</v>
      </c>
      <c r="H61" s="457">
        <v>30500</v>
      </c>
      <c r="I61" s="469">
        <f>IF(X61 = 66, H61 + SUM(S61:S62) - SUM(T61:T62) - SUM(P61:P62) - V61,0)</f>
        <v>0</v>
      </c>
      <c r="J61" s="448" t="s">
        <v>327</v>
      </c>
      <c r="K61" s="448" t="s">
        <v>157</v>
      </c>
      <c r="L61" s="448" t="s">
        <v>146</v>
      </c>
      <c r="M61" s="448"/>
      <c r="N61" s="382">
        <v>45875</v>
      </c>
      <c r="O61" s="454" t="s">
        <v>183</v>
      </c>
      <c r="P61" s="373">
        <v>25000</v>
      </c>
      <c r="Q61" s="374">
        <v>45882</v>
      </c>
      <c r="R61" s="375"/>
      <c r="S61" s="373"/>
      <c r="T61" s="373"/>
      <c r="U61" s="457"/>
      <c r="V61" s="460"/>
      <c r="W61" s="463"/>
      <c r="X61" s="105">
        <v>66</v>
      </c>
    </row>
    <row r="62" spans="1:24" s="362" customFormat="1" x14ac:dyDescent="0.3">
      <c r="A62" s="453"/>
      <c r="B62" s="450"/>
      <c r="C62" s="450"/>
      <c r="D62" s="450"/>
      <c r="E62" s="450"/>
      <c r="F62" s="456"/>
      <c r="G62" s="450"/>
      <c r="H62" s="459"/>
      <c r="I62" s="471"/>
      <c r="J62" s="450"/>
      <c r="K62" s="450"/>
      <c r="L62" s="450"/>
      <c r="M62" s="450"/>
      <c r="N62" s="384">
        <v>45875</v>
      </c>
      <c r="O62" s="456"/>
      <c r="P62" s="379">
        <v>5500</v>
      </c>
      <c r="Q62" s="380">
        <v>45882</v>
      </c>
      <c r="R62" s="381"/>
      <c r="S62" s="379"/>
      <c r="T62" s="379"/>
      <c r="U62" s="459"/>
      <c r="V62" s="462"/>
      <c r="W62" s="465"/>
      <c r="X62" s="362">
        <v>66</v>
      </c>
    </row>
    <row r="63" spans="1:24" s="105" customFormat="1" ht="144" x14ac:dyDescent="0.3">
      <c r="A63" s="342">
        <v>31</v>
      </c>
      <c r="B63" s="343" t="s">
        <v>56</v>
      </c>
      <c r="C63" s="343" t="s">
        <v>146</v>
      </c>
      <c r="D63" s="343" t="s">
        <v>147</v>
      </c>
      <c r="E63" s="343" t="s">
        <v>258</v>
      </c>
      <c r="F63" s="360">
        <v>45888</v>
      </c>
      <c r="G63" s="343" t="s">
        <v>367</v>
      </c>
      <c r="H63" s="345">
        <v>34500</v>
      </c>
      <c r="I63" s="346">
        <f>IF(X63 = 67, H63 + SUM(S63:S63) - SUM(T63:T63) - SUM(P63:P63) - V63,0)</f>
        <v>0</v>
      </c>
      <c r="J63" s="343" t="s">
        <v>368</v>
      </c>
      <c r="K63" s="343" t="s">
        <v>158</v>
      </c>
      <c r="L63" s="343" t="s">
        <v>146</v>
      </c>
      <c r="M63" s="343"/>
      <c r="N63" s="360">
        <v>45888</v>
      </c>
      <c r="O63" s="360" t="s">
        <v>183</v>
      </c>
      <c r="P63" s="345">
        <v>34500</v>
      </c>
      <c r="Q63" s="344">
        <v>45889</v>
      </c>
      <c r="R63" s="343"/>
      <c r="S63" s="345"/>
      <c r="T63" s="345"/>
      <c r="U63" s="345"/>
      <c r="V63" s="361"/>
      <c r="W63" s="350"/>
      <c r="X63" s="105">
        <v>67</v>
      </c>
    </row>
    <row r="64" spans="1:24" s="105" customFormat="1" ht="144" x14ac:dyDescent="0.3">
      <c r="A64" s="342">
        <v>32</v>
      </c>
      <c r="B64" s="343" t="s">
        <v>56</v>
      </c>
      <c r="C64" s="343" t="s">
        <v>146</v>
      </c>
      <c r="D64" s="343" t="s">
        <v>147</v>
      </c>
      <c r="E64" s="343" t="s">
        <v>258</v>
      </c>
      <c r="F64" s="360">
        <v>45883</v>
      </c>
      <c r="G64" s="343" t="s">
        <v>371</v>
      </c>
      <c r="H64" s="345">
        <v>23297.22</v>
      </c>
      <c r="I64" s="346">
        <f>IF(X64 = 68, H64 + SUM(S64:S64) - SUM(T64:T64) - SUM(P64:P64) - V64,0)</f>
        <v>0</v>
      </c>
      <c r="J64" s="343" t="s">
        <v>370</v>
      </c>
      <c r="K64" s="343" t="s">
        <v>369</v>
      </c>
      <c r="L64" s="343" t="s">
        <v>146</v>
      </c>
      <c r="M64" s="343"/>
      <c r="N64" s="360">
        <v>45883</v>
      </c>
      <c r="O64" s="360" t="s">
        <v>183</v>
      </c>
      <c r="P64" s="345">
        <v>23297.22</v>
      </c>
      <c r="Q64" s="344">
        <v>45894</v>
      </c>
      <c r="R64" s="343"/>
      <c r="S64" s="345"/>
      <c r="T64" s="345"/>
      <c r="U64" s="345"/>
      <c r="V64" s="361"/>
      <c r="W64" s="350"/>
      <c r="X64" s="105">
        <v>68</v>
      </c>
    </row>
    <row r="65" spans="1:24" x14ac:dyDescent="0.3">
      <c r="A65" s="128"/>
      <c r="B65" s="129"/>
      <c r="C65" s="130"/>
      <c r="D65" s="130"/>
      <c r="E65" s="163"/>
      <c r="F65" s="142"/>
      <c r="G65" s="130"/>
      <c r="H65" s="134"/>
      <c r="I65" s="135">
        <f>IF(X65 = 35, H65 + SUM(S65:S65) - SUM(T65:T65) - SUM(P65:P65) - V65,0)</f>
        <v>0</v>
      </c>
      <c r="J65" s="130"/>
      <c r="K65" s="130"/>
      <c r="L65" s="130"/>
      <c r="M65" s="130"/>
      <c r="N65" s="142"/>
      <c r="O65" s="142"/>
      <c r="P65" s="134"/>
      <c r="Q65" s="131"/>
      <c r="R65" s="133"/>
      <c r="S65" s="134"/>
      <c r="T65" s="134"/>
      <c r="U65" s="134"/>
      <c r="V65" s="132"/>
      <c r="W65" s="133"/>
      <c r="X65" s="8">
        <v>69</v>
      </c>
    </row>
    <row r="66" spans="1:24" s="2" customFormat="1" x14ac:dyDescent="0.3">
      <c r="A66" s="41"/>
      <c r="B66" s="107"/>
      <c r="C66" s="41"/>
      <c r="D66" s="41"/>
      <c r="E66" s="42"/>
      <c r="F66" s="41"/>
      <c r="G66" s="41"/>
      <c r="H66" s="44"/>
      <c r="I66" s="44"/>
      <c r="J66" s="41"/>
      <c r="K66" s="41"/>
      <c r="L66" s="41"/>
      <c r="M66" s="41"/>
      <c r="N66" s="42"/>
      <c r="O66" s="41"/>
      <c r="P66" s="40"/>
      <c r="Q66" s="42"/>
      <c r="U66" s="42"/>
      <c r="V66" s="40"/>
    </row>
    <row r="67" spans="1:24" s="2" customFormat="1" x14ac:dyDescent="0.3">
      <c r="A67" s="41"/>
      <c r="B67" s="107"/>
      <c r="C67" s="41"/>
      <c r="D67" s="41"/>
      <c r="E67" s="42"/>
      <c r="F67" s="41"/>
      <c r="G67" s="41"/>
      <c r="H67" s="44"/>
      <c r="I67" s="44"/>
      <c r="J67" s="41"/>
      <c r="K67" s="41"/>
      <c r="L67" s="41"/>
      <c r="M67" s="41"/>
      <c r="N67" s="42"/>
      <c r="O67" s="41"/>
      <c r="P67" s="40"/>
      <c r="Q67" s="42"/>
      <c r="U67" s="42"/>
      <c r="V67" s="40"/>
    </row>
    <row r="68" spans="1:24" s="2" customFormat="1" x14ac:dyDescent="0.3">
      <c r="A68" s="41"/>
      <c r="B68" s="107"/>
      <c r="C68" s="41"/>
      <c r="D68" s="41"/>
      <c r="E68" s="42"/>
      <c r="F68" s="41"/>
      <c r="G68" s="41"/>
      <c r="H68" s="44"/>
      <c r="I68" s="44"/>
      <c r="J68" s="41"/>
      <c r="K68" s="41"/>
      <c r="L68" s="41"/>
      <c r="M68" s="41"/>
      <c r="N68" s="42"/>
      <c r="O68" s="41"/>
      <c r="P68" s="40"/>
      <c r="Q68" s="42"/>
      <c r="U68" s="42"/>
      <c r="V68" s="40"/>
    </row>
    <row r="69" spans="1:24" s="2" customFormat="1" x14ac:dyDescent="0.3">
      <c r="A69" s="41"/>
      <c r="B69" s="107"/>
      <c r="C69" s="41"/>
      <c r="D69" s="41"/>
      <c r="E69" s="42"/>
      <c r="F69" s="41"/>
      <c r="G69" s="41"/>
      <c r="H69" s="44"/>
      <c r="I69" s="44"/>
      <c r="J69" s="41"/>
      <c r="K69" s="41"/>
      <c r="L69" s="41"/>
      <c r="M69" s="41"/>
      <c r="N69" s="42"/>
      <c r="O69" s="41"/>
      <c r="P69" s="40"/>
      <c r="Q69" s="42"/>
      <c r="U69" s="42"/>
      <c r="V69" s="40"/>
    </row>
    <row r="70" spans="1:24" s="2" customFormat="1" x14ac:dyDescent="0.3">
      <c r="A70" s="41"/>
      <c r="B70" s="107"/>
      <c r="C70" s="41"/>
      <c r="D70" s="41"/>
      <c r="E70" s="42"/>
      <c r="F70" s="41"/>
      <c r="G70" s="41"/>
      <c r="H70" s="44"/>
      <c r="I70" s="44"/>
      <c r="J70" s="41"/>
      <c r="K70" s="41"/>
      <c r="L70" s="41"/>
      <c r="M70" s="41"/>
      <c r="N70" s="42"/>
      <c r="O70" s="41"/>
      <c r="P70" s="40"/>
      <c r="Q70" s="42"/>
      <c r="U70" s="42"/>
      <c r="V70" s="40"/>
    </row>
  </sheetData>
  <sheetProtection password="EB34" sheet="1" objects="1" scenarios="1" formatCells="0" formatColumns="0" formatRows="0"/>
  <mergeCells count="143">
    <mergeCell ref="W34:W35"/>
    <mergeCell ref="D34:D35"/>
    <mergeCell ref="E34:E35"/>
    <mergeCell ref="F34:F35"/>
    <mergeCell ref="G34:G35"/>
    <mergeCell ref="A55:A56"/>
    <mergeCell ref="O55:O56"/>
    <mergeCell ref="U55:U56"/>
    <mergeCell ref="B55:B56"/>
    <mergeCell ref="V55:V56"/>
    <mergeCell ref="C55:C56"/>
    <mergeCell ref="W55:W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W45:W46"/>
    <mergeCell ref="D45:D46"/>
    <mergeCell ref="V34:V35"/>
    <mergeCell ref="C34:C35"/>
    <mergeCell ref="H34:H35"/>
    <mergeCell ref="I34:I35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A41:A42"/>
    <mergeCell ref="O41:O42"/>
    <mergeCell ref="U41:U42"/>
    <mergeCell ref="B41:B42"/>
    <mergeCell ref="A45:A46"/>
    <mergeCell ref="O45:O46"/>
    <mergeCell ref="U45:U46"/>
    <mergeCell ref="B45:B46"/>
    <mergeCell ref="V45:V46"/>
    <mergeCell ref="C45:C46"/>
    <mergeCell ref="K34:K35"/>
    <mergeCell ref="L34:L35"/>
    <mergeCell ref="M34:M35"/>
    <mergeCell ref="A3:E3"/>
    <mergeCell ref="S2:U2"/>
    <mergeCell ref="N2:O2"/>
    <mergeCell ref="J4:K4"/>
    <mergeCell ref="M4:N4"/>
    <mergeCell ref="O4:P4"/>
    <mergeCell ref="K2:M2"/>
    <mergeCell ref="A34:A35"/>
    <mergeCell ref="O34:O35"/>
    <mergeCell ref="U34:U35"/>
    <mergeCell ref="B34:B35"/>
    <mergeCell ref="A19:A30"/>
    <mergeCell ref="B19:B30"/>
    <mergeCell ref="J19:J30"/>
    <mergeCell ref="K19:K30"/>
    <mergeCell ref="L19:L30"/>
    <mergeCell ref="V51:V53"/>
    <mergeCell ref="C51:C53"/>
    <mergeCell ref="W51:W53"/>
    <mergeCell ref="W41:W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V41:V42"/>
    <mergeCell ref="C41:C42"/>
    <mergeCell ref="V61:V62"/>
    <mergeCell ref="C61:C62"/>
    <mergeCell ref="W61:W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E19:E30"/>
    <mergeCell ref="F19:F30"/>
    <mergeCell ref="G19:G30"/>
    <mergeCell ref="H19:H30"/>
    <mergeCell ref="I19:I30"/>
    <mergeCell ref="A61:A62"/>
    <mergeCell ref="O61:O62"/>
    <mergeCell ref="U61:U62"/>
    <mergeCell ref="B61:B62"/>
    <mergeCell ref="M51:M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A51:A53"/>
    <mergeCell ref="O51:O53"/>
    <mergeCell ref="U51:U53"/>
    <mergeCell ref="B51:B53"/>
    <mergeCell ref="J34:J35"/>
    <mergeCell ref="M19:M30"/>
    <mergeCell ref="A9:A15"/>
    <mergeCell ref="O9:O15"/>
    <mergeCell ref="U9:U15"/>
    <mergeCell ref="B9:B15"/>
    <mergeCell ref="V9:V15"/>
    <mergeCell ref="C9:C15"/>
    <mergeCell ref="W9:W15"/>
    <mergeCell ref="D9:D15"/>
    <mergeCell ref="E9:E15"/>
    <mergeCell ref="F9:F15"/>
    <mergeCell ref="G9:G15"/>
    <mergeCell ref="H9:H15"/>
    <mergeCell ref="I9:I15"/>
    <mergeCell ref="J9:J15"/>
    <mergeCell ref="K9:K15"/>
    <mergeCell ref="L9:L15"/>
    <mergeCell ref="M9:M15"/>
    <mergeCell ref="O19:O30"/>
    <mergeCell ref="U19:U30"/>
    <mergeCell ref="V19:V30"/>
    <mergeCell ref="C19:C30"/>
    <mergeCell ref="W19:W30"/>
    <mergeCell ref="D19:D3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82"/>
  <sheetViews>
    <sheetView showGridLines="0" tabSelected="1" topLeftCell="G1" zoomScale="60" zoomScaleNormal="60" workbookViewId="0">
      <pane ySplit="8" topLeftCell="A176" activePane="bottomLeft" state="frozen"/>
      <selection pane="bottomLeft" activeCell="O179" sqref="O179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607" t="s">
        <v>24</v>
      </c>
      <c r="G2" s="608"/>
      <c r="H2" s="98">
        <f>SUM(H9:H10000)</f>
        <v>4012457.6</v>
      </c>
      <c r="I2" s="86"/>
      <c r="J2" s="39"/>
      <c r="N2" s="508" t="s">
        <v>137</v>
      </c>
      <c r="O2" s="510"/>
      <c r="P2" s="87">
        <f>SUM(P9:P10000)</f>
        <v>2623748.6400000011</v>
      </c>
      <c r="R2" s="86"/>
      <c r="S2" s="508" t="s">
        <v>45</v>
      </c>
      <c r="T2" s="509"/>
      <c r="U2" s="510"/>
      <c r="V2" s="88">
        <f>SUM(V9:V10000)</f>
        <v>0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76.95" customHeight="1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6" customFormat="1" ht="90" customHeight="1" x14ac:dyDescent="0.3">
      <c r="A9" s="512">
        <v>1</v>
      </c>
      <c r="B9" s="505" t="s">
        <v>56</v>
      </c>
      <c r="C9" s="505" t="s">
        <v>162</v>
      </c>
      <c r="D9" s="505" t="s">
        <v>147</v>
      </c>
      <c r="E9" s="505" t="s">
        <v>199</v>
      </c>
      <c r="F9" s="514">
        <v>45654</v>
      </c>
      <c r="G9" s="650" t="s">
        <v>163</v>
      </c>
      <c r="H9" s="516">
        <v>290000</v>
      </c>
      <c r="I9" s="532">
        <f>IF(X9 = 18, H9 + SUM(S9:S11) - SUM(T9:T11) - SUM(P9:P11) - V9,0)</f>
        <v>117434.09</v>
      </c>
      <c r="J9" s="654">
        <v>2310195709</v>
      </c>
      <c r="K9" s="657" t="s">
        <v>200</v>
      </c>
      <c r="L9" s="505" t="s">
        <v>146</v>
      </c>
      <c r="M9" s="505"/>
      <c r="N9" s="201">
        <v>45688</v>
      </c>
      <c r="O9" s="514" t="s">
        <v>183</v>
      </c>
      <c r="P9" s="192">
        <v>59560.23</v>
      </c>
      <c r="Q9" s="193">
        <v>45699</v>
      </c>
      <c r="R9" s="194"/>
      <c r="S9" s="192"/>
      <c r="T9" s="192"/>
      <c r="U9" s="516"/>
      <c r="V9" s="646"/>
      <c r="W9" s="536"/>
      <c r="X9" s="106">
        <v>18</v>
      </c>
    </row>
    <row r="10" spans="1:24" s="2" customFormat="1" x14ac:dyDescent="0.3">
      <c r="A10" s="643"/>
      <c r="B10" s="578"/>
      <c r="C10" s="578"/>
      <c r="D10" s="578"/>
      <c r="E10" s="578"/>
      <c r="F10" s="644"/>
      <c r="G10" s="651"/>
      <c r="H10" s="645"/>
      <c r="I10" s="653"/>
      <c r="J10" s="655"/>
      <c r="K10" s="658"/>
      <c r="L10" s="578"/>
      <c r="M10" s="578"/>
      <c r="N10" s="202">
        <v>45716</v>
      </c>
      <c r="O10" s="644"/>
      <c r="P10" s="195">
        <v>68605.929999999993</v>
      </c>
      <c r="Q10" s="196">
        <v>45727</v>
      </c>
      <c r="R10" s="197"/>
      <c r="S10" s="195"/>
      <c r="T10" s="195"/>
      <c r="U10" s="645"/>
      <c r="V10" s="647"/>
      <c r="W10" s="649"/>
      <c r="X10" s="2">
        <v>18</v>
      </c>
    </row>
    <row r="11" spans="1:24" s="2" customFormat="1" x14ac:dyDescent="0.3">
      <c r="A11" s="513"/>
      <c r="B11" s="506"/>
      <c r="C11" s="506"/>
      <c r="D11" s="506"/>
      <c r="E11" s="506"/>
      <c r="F11" s="515"/>
      <c r="G11" s="652"/>
      <c r="H11" s="517"/>
      <c r="I11" s="533"/>
      <c r="J11" s="656"/>
      <c r="K11" s="659"/>
      <c r="L11" s="506"/>
      <c r="M11" s="506"/>
      <c r="N11" s="203">
        <v>45747</v>
      </c>
      <c r="O11" s="515"/>
      <c r="P11" s="198">
        <v>44399.75</v>
      </c>
      <c r="Q11" s="199">
        <v>45755</v>
      </c>
      <c r="R11" s="200"/>
      <c r="S11" s="198"/>
      <c r="T11" s="198"/>
      <c r="U11" s="517"/>
      <c r="V11" s="648"/>
      <c r="W11" s="537"/>
      <c r="X11" s="2">
        <v>18</v>
      </c>
    </row>
    <row r="12" spans="1:24" s="106" customFormat="1" ht="36" customHeight="1" x14ac:dyDescent="0.3">
      <c r="A12" s="451">
        <v>2</v>
      </c>
      <c r="B12" s="448" t="s">
        <v>56</v>
      </c>
      <c r="C12" s="448" t="s">
        <v>146</v>
      </c>
      <c r="D12" s="448" t="s">
        <v>147</v>
      </c>
      <c r="E12" s="448" t="s">
        <v>113</v>
      </c>
      <c r="F12" s="454">
        <v>45655</v>
      </c>
      <c r="G12" s="543" t="s">
        <v>165</v>
      </c>
      <c r="H12" s="457">
        <v>44000</v>
      </c>
      <c r="I12" s="469">
        <f>IF(X12 = 19, H12 + SUM(S12:S18) - SUM(T12:T18) - SUM(P12:P18) - V12,0)</f>
        <v>32187.42</v>
      </c>
      <c r="J12" s="546">
        <v>2353246210</v>
      </c>
      <c r="K12" s="549" t="s">
        <v>150</v>
      </c>
      <c r="L12" s="448" t="s">
        <v>146</v>
      </c>
      <c r="M12" s="448"/>
      <c r="N12" s="382">
        <v>45674</v>
      </c>
      <c r="O12" s="454" t="s">
        <v>166</v>
      </c>
      <c r="P12" s="373">
        <v>1523.36</v>
      </c>
      <c r="Q12" s="374">
        <v>45688</v>
      </c>
      <c r="R12" s="375"/>
      <c r="S12" s="373"/>
      <c r="T12" s="373"/>
      <c r="U12" s="457"/>
      <c r="V12" s="540"/>
      <c r="W12" s="463"/>
      <c r="X12" s="106">
        <v>19</v>
      </c>
    </row>
    <row r="13" spans="1:24" s="2" customFormat="1" x14ac:dyDescent="0.3">
      <c r="A13" s="452"/>
      <c r="B13" s="449"/>
      <c r="C13" s="449"/>
      <c r="D13" s="449"/>
      <c r="E13" s="449"/>
      <c r="F13" s="455"/>
      <c r="G13" s="544"/>
      <c r="H13" s="458"/>
      <c r="I13" s="470"/>
      <c r="J13" s="547"/>
      <c r="K13" s="550"/>
      <c r="L13" s="449"/>
      <c r="M13" s="449"/>
      <c r="N13" s="383">
        <v>45707</v>
      </c>
      <c r="O13" s="455"/>
      <c r="P13" s="376">
        <v>2182.12</v>
      </c>
      <c r="Q13" s="377">
        <v>45716</v>
      </c>
      <c r="R13" s="378"/>
      <c r="S13" s="376"/>
      <c r="T13" s="376"/>
      <c r="U13" s="458"/>
      <c r="V13" s="541"/>
      <c r="W13" s="464"/>
      <c r="X13" s="2">
        <v>19</v>
      </c>
    </row>
    <row r="14" spans="1:24" s="2" customFormat="1" x14ac:dyDescent="0.3">
      <c r="A14" s="452"/>
      <c r="B14" s="449"/>
      <c r="C14" s="449"/>
      <c r="D14" s="449"/>
      <c r="E14" s="449"/>
      <c r="F14" s="455"/>
      <c r="G14" s="544"/>
      <c r="H14" s="458"/>
      <c r="I14" s="470"/>
      <c r="J14" s="547"/>
      <c r="K14" s="550"/>
      <c r="L14" s="449"/>
      <c r="M14" s="449"/>
      <c r="N14" s="383">
        <v>45733</v>
      </c>
      <c r="O14" s="455"/>
      <c r="P14" s="376">
        <v>1646.88</v>
      </c>
      <c r="Q14" s="377">
        <v>45735</v>
      </c>
      <c r="R14" s="378"/>
      <c r="S14" s="376"/>
      <c r="T14" s="376"/>
      <c r="U14" s="458"/>
      <c r="V14" s="541"/>
      <c r="W14" s="464"/>
      <c r="X14" s="2">
        <v>19</v>
      </c>
    </row>
    <row r="15" spans="1:24" s="2" customFormat="1" x14ac:dyDescent="0.3">
      <c r="A15" s="452"/>
      <c r="B15" s="449"/>
      <c r="C15" s="449"/>
      <c r="D15" s="449"/>
      <c r="E15" s="449"/>
      <c r="F15" s="455"/>
      <c r="G15" s="544"/>
      <c r="H15" s="458"/>
      <c r="I15" s="470"/>
      <c r="J15" s="547"/>
      <c r="K15" s="550"/>
      <c r="L15" s="449"/>
      <c r="M15" s="449"/>
      <c r="N15" s="383">
        <v>45763</v>
      </c>
      <c r="O15" s="455"/>
      <c r="P15" s="376">
        <v>2264.46</v>
      </c>
      <c r="Q15" s="377">
        <v>45777</v>
      </c>
      <c r="R15" s="378"/>
      <c r="S15" s="376"/>
      <c r="T15" s="376"/>
      <c r="U15" s="458"/>
      <c r="V15" s="541"/>
      <c r="W15" s="464"/>
      <c r="X15" s="2">
        <v>19</v>
      </c>
    </row>
    <row r="16" spans="1:24" s="2" customFormat="1" x14ac:dyDescent="0.3">
      <c r="A16" s="452"/>
      <c r="B16" s="449"/>
      <c r="C16" s="449"/>
      <c r="D16" s="449"/>
      <c r="E16" s="449"/>
      <c r="F16" s="455"/>
      <c r="G16" s="544"/>
      <c r="H16" s="458"/>
      <c r="I16" s="470"/>
      <c r="J16" s="547"/>
      <c r="K16" s="550"/>
      <c r="L16" s="449"/>
      <c r="M16" s="449"/>
      <c r="N16" s="383">
        <v>45791</v>
      </c>
      <c r="O16" s="455"/>
      <c r="P16" s="376">
        <v>1605.71</v>
      </c>
      <c r="Q16" s="377">
        <v>45807</v>
      </c>
      <c r="R16" s="378"/>
      <c r="S16" s="376"/>
      <c r="T16" s="376"/>
      <c r="U16" s="458"/>
      <c r="V16" s="541"/>
      <c r="W16" s="464"/>
      <c r="X16" s="2">
        <v>19</v>
      </c>
    </row>
    <row r="17" spans="1:24" s="2" customFormat="1" x14ac:dyDescent="0.3">
      <c r="A17" s="452"/>
      <c r="B17" s="449"/>
      <c r="C17" s="449"/>
      <c r="D17" s="449"/>
      <c r="E17" s="449"/>
      <c r="F17" s="455"/>
      <c r="G17" s="544"/>
      <c r="H17" s="458"/>
      <c r="I17" s="470"/>
      <c r="J17" s="547"/>
      <c r="K17" s="550"/>
      <c r="L17" s="449"/>
      <c r="M17" s="449"/>
      <c r="N17" s="383">
        <v>45832</v>
      </c>
      <c r="O17" s="455"/>
      <c r="P17" s="376">
        <v>1482.19</v>
      </c>
      <c r="Q17" s="377">
        <v>45842</v>
      </c>
      <c r="R17" s="378"/>
      <c r="S17" s="376"/>
      <c r="T17" s="376"/>
      <c r="U17" s="458"/>
      <c r="V17" s="541"/>
      <c r="W17" s="464"/>
      <c r="X17" s="2">
        <v>19</v>
      </c>
    </row>
    <row r="18" spans="1:24" s="2" customFormat="1" x14ac:dyDescent="0.3">
      <c r="A18" s="453"/>
      <c r="B18" s="450"/>
      <c r="C18" s="450"/>
      <c r="D18" s="450"/>
      <c r="E18" s="450"/>
      <c r="F18" s="456"/>
      <c r="G18" s="545"/>
      <c r="H18" s="459"/>
      <c r="I18" s="471"/>
      <c r="J18" s="548"/>
      <c r="K18" s="551"/>
      <c r="L18" s="450"/>
      <c r="M18" s="450"/>
      <c r="N18" s="384">
        <v>45861</v>
      </c>
      <c r="O18" s="456"/>
      <c r="P18" s="379">
        <v>1107.8599999999999</v>
      </c>
      <c r="Q18" s="380">
        <v>45873</v>
      </c>
      <c r="R18" s="381"/>
      <c r="S18" s="379"/>
      <c r="T18" s="379"/>
      <c r="U18" s="459"/>
      <c r="V18" s="542"/>
      <c r="W18" s="465"/>
      <c r="X18" s="2">
        <v>19</v>
      </c>
    </row>
    <row r="19" spans="1:24" s="106" customFormat="1" ht="37.5" customHeight="1" x14ac:dyDescent="0.3">
      <c r="A19" s="451">
        <v>3</v>
      </c>
      <c r="B19" s="448" t="s">
        <v>56</v>
      </c>
      <c r="C19" s="448" t="s">
        <v>146</v>
      </c>
      <c r="D19" s="448" t="s">
        <v>170</v>
      </c>
      <c r="E19" s="448" t="s">
        <v>171</v>
      </c>
      <c r="F19" s="454">
        <v>45654</v>
      </c>
      <c r="G19" s="543" t="s">
        <v>167</v>
      </c>
      <c r="H19" s="457">
        <v>407000</v>
      </c>
      <c r="I19" s="469">
        <f>IF(X19 = 20, H19 + SUM(S19:S38) - SUM(T19:T38) - SUM(P19:P38) - V19,0)</f>
        <v>44051.770000000019</v>
      </c>
      <c r="J19" s="546">
        <v>2308119595</v>
      </c>
      <c r="K19" s="549" t="s">
        <v>149</v>
      </c>
      <c r="L19" s="448" t="s">
        <v>146</v>
      </c>
      <c r="M19" s="448"/>
      <c r="N19" s="382">
        <v>45658</v>
      </c>
      <c r="O19" s="454" t="s">
        <v>168</v>
      </c>
      <c r="P19" s="373">
        <v>25009.94</v>
      </c>
      <c r="Q19" s="374">
        <v>45685</v>
      </c>
      <c r="R19" s="375"/>
      <c r="S19" s="373"/>
      <c r="T19" s="373"/>
      <c r="U19" s="457"/>
      <c r="V19" s="540"/>
      <c r="W19" s="463"/>
      <c r="X19" s="106">
        <v>20</v>
      </c>
    </row>
    <row r="20" spans="1:24" s="2" customFormat="1" x14ac:dyDescent="0.3">
      <c r="A20" s="452"/>
      <c r="B20" s="449"/>
      <c r="C20" s="449"/>
      <c r="D20" s="449"/>
      <c r="E20" s="449"/>
      <c r="F20" s="455"/>
      <c r="G20" s="544"/>
      <c r="H20" s="458"/>
      <c r="I20" s="470"/>
      <c r="J20" s="547"/>
      <c r="K20" s="550"/>
      <c r="L20" s="449"/>
      <c r="M20" s="449"/>
      <c r="N20" s="383">
        <v>45689</v>
      </c>
      <c r="O20" s="455"/>
      <c r="P20" s="376">
        <v>18751.080000000002</v>
      </c>
      <c r="Q20" s="377">
        <v>45692</v>
      </c>
      <c r="R20" s="378"/>
      <c r="S20" s="376"/>
      <c r="T20" s="376"/>
      <c r="U20" s="458"/>
      <c r="V20" s="541"/>
      <c r="W20" s="464"/>
      <c r="X20" s="2">
        <v>20</v>
      </c>
    </row>
    <row r="21" spans="1:24" s="2" customFormat="1" x14ac:dyDescent="0.3">
      <c r="A21" s="452"/>
      <c r="B21" s="449"/>
      <c r="C21" s="449"/>
      <c r="D21" s="449"/>
      <c r="E21" s="449"/>
      <c r="F21" s="455"/>
      <c r="G21" s="544"/>
      <c r="H21" s="458"/>
      <c r="I21" s="470"/>
      <c r="J21" s="547"/>
      <c r="K21" s="550"/>
      <c r="L21" s="449"/>
      <c r="M21" s="449"/>
      <c r="N21" s="383">
        <v>45688</v>
      </c>
      <c r="O21" s="455"/>
      <c r="P21" s="376">
        <v>40907.68</v>
      </c>
      <c r="Q21" s="377">
        <v>45705</v>
      </c>
      <c r="R21" s="378"/>
      <c r="S21" s="376"/>
      <c r="T21" s="376"/>
      <c r="U21" s="458"/>
      <c r="V21" s="541"/>
      <c r="W21" s="464"/>
      <c r="X21" s="2">
        <v>20</v>
      </c>
    </row>
    <row r="22" spans="1:24" s="2" customFormat="1" x14ac:dyDescent="0.3">
      <c r="A22" s="452"/>
      <c r="B22" s="449"/>
      <c r="C22" s="449"/>
      <c r="D22" s="449"/>
      <c r="E22" s="449"/>
      <c r="F22" s="455"/>
      <c r="G22" s="544"/>
      <c r="H22" s="458"/>
      <c r="I22" s="470"/>
      <c r="J22" s="547"/>
      <c r="K22" s="550"/>
      <c r="L22" s="449"/>
      <c r="M22" s="449"/>
      <c r="N22" s="383">
        <v>45689</v>
      </c>
      <c r="O22" s="455"/>
      <c r="P22" s="376">
        <v>28796.27</v>
      </c>
      <c r="Q22" s="377">
        <v>45705</v>
      </c>
      <c r="R22" s="378"/>
      <c r="S22" s="376"/>
      <c r="T22" s="376"/>
      <c r="U22" s="458"/>
      <c r="V22" s="541"/>
      <c r="W22" s="464"/>
      <c r="X22" s="2">
        <v>20</v>
      </c>
    </row>
    <row r="23" spans="1:24" s="2" customFormat="1" x14ac:dyDescent="0.3">
      <c r="A23" s="452"/>
      <c r="B23" s="449"/>
      <c r="C23" s="449"/>
      <c r="D23" s="449"/>
      <c r="E23" s="449"/>
      <c r="F23" s="455"/>
      <c r="G23" s="544"/>
      <c r="H23" s="458"/>
      <c r="I23" s="470"/>
      <c r="J23" s="547"/>
      <c r="K23" s="550"/>
      <c r="L23" s="449"/>
      <c r="M23" s="449"/>
      <c r="N23" s="383">
        <v>45717</v>
      </c>
      <c r="O23" s="455"/>
      <c r="P23" s="376">
        <v>21597.200000000001</v>
      </c>
      <c r="Q23" s="377">
        <v>45719</v>
      </c>
      <c r="R23" s="378"/>
      <c r="S23" s="376"/>
      <c r="T23" s="376"/>
      <c r="U23" s="458"/>
      <c r="V23" s="541"/>
      <c r="W23" s="464"/>
      <c r="X23" s="2">
        <v>20</v>
      </c>
    </row>
    <row r="24" spans="1:24" s="2" customFormat="1" x14ac:dyDescent="0.3">
      <c r="A24" s="452"/>
      <c r="B24" s="449"/>
      <c r="C24" s="449"/>
      <c r="D24" s="449"/>
      <c r="E24" s="449"/>
      <c r="F24" s="455"/>
      <c r="G24" s="544"/>
      <c r="H24" s="458"/>
      <c r="I24" s="470"/>
      <c r="J24" s="547"/>
      <c r="K24" s="550"/>
      <c r="L24" s="449"/>
      <c r="M24" s="449"/>
      <c r="N24" s="383">
        <v>45716</v>
      </c>
      <c r="O24" s="455"/>
      <c r="P24" s="376">
        <v>9060.59</v>
      </c>
      <c r="Q24" s="377">
        <v>45729</v>
      </c>
      <c r="R24" s="378"/>
      <c r="S24" s="376"/>
      <c r="T24" s="376"/>
      <c r="U24" s="458"/>
      <c r="V24" s="541"/>
      <c r="W24" s="464"/>
      <c r="X24" s="2">
        <v>20</v>
      </c>
    </row>
    <row r="25" spans="1:24" s="2" customFormat="1" x14ac:dyDescent="0.3">
      <c r="A25" s="452"/>
      <c r="B25" s="449"/>
      <c r="C25" s="449"/>
      <c r="D25" s="449"/>
      <c r="E25" s="449"/>
      <c r="F25" s="455"/>
      <c r="G25" s="544"/>
      <c r="H25" s="458"/>
      <c r="I25" s="470"/>
      <c r="J25" s="547"/>
      <c r="K25" s="550"/>
      <c r="L25" s="449"/>
      <c r="M25" s="449"/>
      <c r="N25" s="383">
        <v>45717</v>
      </c>
      <c r="O25" s="455"/>
      <c r="P25" s="376">
        <v>24651.97</v>
      </c>
      <c r="Q25" s="377">
        <v>45729</v>
      </c>
      <c r="R25" s="378"/>
      <c r="S25" s="376"/>
      <c r="T25" s="376"/>
      <c r="U25" s="458"/>
      <c r="V25" s="541"/>
      <c r="W25" s="464"/>
      <c r="X25" s="2">
        <v>20</v>
      </c>
    </row>
    <row r="26" spans="1:24" s="2" customFormat="1" x14ac:dyDescent="0.3">
      <c r="A26" s="452"/>
      <c r="B26" s="449"/>
      <c r="C26" s="449"/>
      <c r="D26" s="449"/>
      <c r="E26" s="449"/>
      <c r="F26" s="455"/>
      <c r="G26" s="544"/>
      <c r="H26" s="458"/>
      <c r="I26" s="470"/>
      <c r="J26" s="547"/>
      <c r="K26" s="550"/>
      <c r="L26" s="449"/>
      <c r="M26" s="449"/>
      <c r="N26" s="383">
        <v>45748</v>
      </c>
      <c r="O26" s="455"/>
      <c r="P26" s="376">
        <v>18496.34</v>
      </c>
      <c r="Q26" s="377">
        <v>45748</v>
      </c>
      <c r="R26" s="378"/>
      <c r="S26" s="376"/>
      <c r="T26" s="376"/>
      <c r="U26" s="458"/>
      <c r="V26" s="541"/>
      <c r="W26" s="464"/>
      <c r="X26" s="2">
        <v>20</v>
      </c>
    </row>
    <row r="27" spans="1:24" s="2" customFormat="1" x14ac:dyDescent="0.3">
      <c r="A27" s="452"/>
      <c r="B27" s="449"/>
      <c r="C27" s="449"/>
      <c r="D27" s="449"/>
      <c r="E27" s="449"/>
      <c r="F27" s="455"/>
      <c r="G27" s="544"/>
      <c r="H27" s="458"/>
      <c r="I27" s="470"/>
      <c r="J27" s="547"/>
      <c r="K27" s="550"/>
      <c r="L27" s="449"/>
      <c r="M27" s="449"/>
      <c r="N27" s="383">
        <v>45747</v>
      </c>
      <c r="O27" s="455"/>
      <c r="P27" s="376">
        <v>9628.5499999999993</v>
      </c>
      <c r="Q27" s="377">
        <v>45761</v>
      </c>
      <c r="R27" s="378"/>
      <c r="S27" s="376"/>
      <c r="T27" s="376"/>
      <c r="U27" s="458"/>
      <c r="V27" s="541"/>
      <c r="W27" s="464"/>
      <c r="X27" s="2">
        <v>20</v>
      </c>
    </row>
    <row r="28" spans="1:24" s="2" customFormat="1" x14ac:dyDescent="0.3">
      <c r="A28" s="452"/>
      <c r="B28" s="449"/>
      <c r="C28" s="449"/>
      <c r="D28" s="449"/>
      <c r="E28" s="449"/>
      <c r="F28" s="455"/>
      <c r="G28" s="544"/>
      <c r="H28" s="458"/>
      <c r="I28" s="470"/>
      <c r="J28" s="547"/>
      <c r="K28" s="550"/>
      <c r="L28" s="449"/>
      <c r="M28" s="449"/>
      <c r="N28" s="383">
        <v>45748</v>
      </c>
      <c r="O28" s="455"/>
      <c r="P28" s="376">
        <v>22353.7</v>
      </c>
      <c r="Q28" s="377">
        <v>45761</v>
      </c>
      <c r="R28" s="378"/>
      <c r="S28" s="376"/>
      <c r="T28" s="376"/>
      <c r="U28" s="458"/>
      <c r="V28" s="541"/>
      <c r="W28" s="464"/>
      <c r="X28" s="2">
        <v>20</v>
      </c>
    </row>
    <row r="29" spans="1:24" s="2" customFormat="1" x14ac:dyDescent="0.3">
      <c r="A29" s="452"/>
      <c r="B29" s="449"/>
      <c r="C29" s="449"/>
      <c r="D29" s="449"/>
      <c r="E29" s="449"/>
      <c r="F29" s="455"/>
      <c r="G29" s="544"/>
      <c r="H29" s="458"/>
      <c r="I29" s="470"/>
      <c r="J29" s="547"/>
      <c r="K29" s="550"/>
      <c r="L29" s="449"/>
      <c r="M29" s="449"/>
      <c r="N29" s="383">
        <v>45778</v>
      </c>
      <c r="O29" s="455"/>
      <c r="P29" s="376">
        <v>16768.52</v>
      </c>
      <c r="Q29" s="377">
        <v>45782</v>
      </c>
      <c r="R29" s="378"/>
      <c r="S29" s="376"/>
      <c r="T29" s="376"/>
      <c r="U29" s="458"/>
      <c r="V29" s="541"/>
      <c r="W29" s="464"/>
      <c r="X29" s="2">
        <v>20</v>
      </c>
    </row>
    <row r="30" spans="1:24" s="2" customFormat="1" x14ac:dyDescent="0.3">
      <c r="A30" s="452"/>
      <c r="B30" s="449"/>
      <c r="C30" s="449"/>
      <c r="D30" s="449"/>
      <c r="E30" s="449"/>
      <c r="F30" s="455"/>
      <c r="G30" s="544"/>
      <c r="H30" s="458"/>
      <c r="I30" s="470"/>
      <c r="J30" s="547"/>
      <c r="K30" s="550"/>
      <c r="L30" s="449"/>
      <c r="M30" s="449"/>
      <c r="N30" s="383">
        <v>45778</v>
      </c>
      <c r="O30" s="455"/>
      <c r="P30" s="376">
        <v>24338.09</v>
      </c>
      <c r="Q30" s="377">
        <v>45790</v>
      </c>
      <c r="R30" s="378"/>
      <c r="S30" s="376"/>
      <c r="T30" s="376"/>
      <c r="U30" s="458"/>
      <c r="V30" s="541"/>
      <c r="W30" s="464"/>
      <c r="X30" s="2">
        <v>20</v>
      </c>
    </row>
    <row r="31" spans="1:24" s="2" customFormat="1" x14ac:dyDescent="0.3">
      <c r="A31" s="452"/>
      <c r="B31" s="449"/>
      <c r="C31" s="449"/>
      <c r="D31" s="449"/>
      <c r="E31" s="449"/>
      <c r="F31" s="455"/>
      <c r="G31" s="544"/>
      <c r="H31" s="458"/>
      <c r="I31" s="470"/>
      <c r="J31" s="547"/>
      <c r="K31" s="550"/>
      <c r="L31" s="449"/>
      <c r="M31" s="449"/>
      <c r="N31" s="383">
        <v>45777</v>
      </c>
      <c r="O31" s="455"/>
      <c r="P31" s="376">
        <v>14917.97</v>
      </c>
      <c r="Q31" s="377">
        <v>45790</v>
      </c>
      <c r="R31" s="378"/>
      <c r="S31" s="376"/>
      <c r="T31" s="376"/>
      <c r="U31" s="458"/>
      <c r="V31" s="541"/>
      <c r="W31" s="464"/>
      <c r="X31" s="2">
        <v>20</v>
      </c>
    </row>
    <row r="32" spans="1:24" s="2" customFormat="1" x14ac:dyDescent="0.3">
      <c r="A32" s="452"/>
      <c r="B32" s="449"/>
      <c r="C32" s="449"/>
      <c r="D32" s="449"/>
      <c r="E32" s="449"/>
      <c r="F32" s="455"/>
      <c r="G32" s="544"/>
      <c r="H32" s="458"/>
      <c r="I32" s="470"/>
      <c r="J32" s="547"/>
      <c r="K32" s="550"/>
      <c r="L32" s="449"/>
      <c r="M32" s="449"/>
      <c r="N32" s="383">
        <v>45809</v>
      </c>
      <c r="O32" s="455"/>
      <c r="P32" s="376">
        <v>18253.57</v>
      </c>
      <c r="Q32" s="377">
        <v>45810</v>
      </c>
      <c r="R32" s="378"/>
      <c r="S32" s="376"/>
      <c r="T32" s="376"/>
      <c r="U32" s="458"/>
      <c r="V32" s="541"/>
      <c r="W32" s="464"/>
      <c r="X32" s="2">
        <v>20</v>
      </c>
    </row>
    <row r="33" spans="1:24" s="2" customFormat="1" x14ac:dyDescent="0.3">
      <c r="A33" s="452"/>
      <c r="B33" s="449"/>
      <c r="C33" s="449"/>
      <c r="D33" s="449"/>
      <c r="E33" s="449"/>
      <c r="F33" s="455"/>
      <c r="G33" s="544"/>
      <c r="H33" s="458"/>
      <c r="I33" s="470"/>
      <c r="J33" s="547"/>
      <c r="K33" s="550"/>
      <c r="L33" s="449"/>
      <c r="M33" s="449"/>
      <c r="N33" s="383">
        <v>45809</v>
      </c>
      <c r="O33" s="455"/>
      <c r="P33" s="376">
        <v>16364.18</v>
      </c>
      <c r="Q33" s="377">
        <v>45827</v>
      </c>
      <c r="R33" s="378"/>
      <c r="S33" s="376"/>
      <c r="T33" s="376"/>
      <c r="U33" s="458"/>
      <c r="V33" s="541"/>
      <c r="W33" s="464"/>
      <c r="X33" s="2">
        <v>20</v>
      </c>
    </row>
    <row r="34" spans="1:24" s="2" customFormat="1" x14ac:dyDescent="0.3">
      <c r="A34" s="452"/>
      <c r="B34" s="449"/>
      <c r="C34" s="449"/>
      <c r="D34" s="449"/>
      <c r="E34" s="449"/>
      <c r="F34" s="455"/>
      <c r="G34" s="544"/>
      <c r="H34" s="458"/>
      <c r="I34" s="470"/>
      <c r="J34" s="547"/>
      <c r="K34" s="550"/>
      <c r="L34" s="449"/>
      <c r="M34" s="449"/>
      <c r="N34" s="383">
        <v>45839</v>
      </c>
      <c r="O34" s="455"/>
      <c r="P34" s="376">
        <v>13356.34</v>
      </c>
      <c r="Q34" s="377">
        <v>45839</v>
      </c>
      <c r="R34" s="378"/>
      <c r="S34" s="376"/>
      <c r="T34" s="376"/>
      <c r="U34" s="458"/>
      <c r="V34" s="541"/>
      <c r="W34" s="464"/>
      <c r="X34" s="2">
        <v>20</v>
      </c>
    </row>
    <row r="35" spans="1:24" s="2" customFormat="1" x14ac:dyDescent="0.3">
      <c r="A35" s="452"/>
      <c r="B35" s="449"/>
      <c r="C35" s="449"/>
      <c r="D35" s="449"/>
      <c r="E35" s="449"/>
      <c r="F35" s="455"/>
      <c r="G35" s="544"/>
      <c r="H35" s="458"/>
      <c r="I35" s="470"/>
      <c r="J35" s="547"/>
      <c r="K35" s="550"/>
      <c r="L35" s="449"/>
      <c r="M35" s="449"/>
      <c r="N35" s="383">
        <v>45839</v>
      </c>
      <c r="O35" s="455"/>
      <c r="P35" s="376">
        <v>13991.53</v>
      </c>
      <c r="Q35" s="377">
        <v>45854</v>
      </c>
      <c r="R35" s="378"/>
      <c r="S35" s="376"/>
      <c r="T35" s="376"/>
      <c r="U35" s="458"/>
      <c r="V35" s="541"/>
      <c r="W35" s="464"/>
      <c r="X35" s="2">
        <v>20</v>
      </c>
    </row>
    <row r="36" spans="1:24" s="2" customFormat="1" x14ac:dyDescent="0.3">
      <c r="A36" s="452"/>
      <c r="B36" s="449"/>
      <c r="C36" s="449"/>
      <c r="D36" s="449"/>
      <c r="E36" s="449"/>
      <c r="F36" s="455"/>
      <c r="G36" s="544"/>
      <c r="H36" s="458"/>
      <c r="I36" s="470"/>
      <c r="J36" s="547"/>
      <c r="K36" s="550"/>
      <c r="L36" s="449"/>
      <c r="M36" s="449"/>
      <c r="N36" s="383">
        <v>45870</v>
      </c>
      <c r="O36" s="455"/>
      <c r="P36" s="385">
        <v>10486</v>
      </c>
      <c r="Q36" s="377">
        <v>45873</v>
      </c>
      <c r="R36" s="378"/>
      <c r="S36" s="376"/>
      <c r="T36" s="376"/>
      <c r="U36" s="458"/>
      <c r="V36" s="541"/>
      <c r="W36" s="464"/>
      <c r="X36" s="2">
        <v>20</v>
      </c>
    </row>
    <row r="37" spans="1:24" s="2" customFormat="1" x14ac:dyDescent="0.3">
      <c r="A37" s="452"/>
      <c r="B37" s="449"/>
      <c r="C37" s="449"/>
      <c r="D37" s="449"/>
      <c r="E37" s="449"/>
      <c r="F37" s="455"/>
      <c r="G37" s="544"/>
      <c r="H37" s="458"/>
      <c r="I37" s="470"/>
      <c r="J37" s="547"/>
      <c r="K37" s="550"/>
      <c r="L37" s="449"/>
      <c r="M37" s="449"/>
      <c r="N37" s="383">
        <v>45870</v>
      </c>
      <c r="O37" s="455"/>
      <c r="P37" s="376">
        <v>8691.7900000000009</v>
      </c>
      <c r="Q37" s="377">
        <v>45882</v>
      </c>
      <c r="R37" s="378"/>
      <c r="S37" s="376"/>
      <c r="T37" s="376"/>
      <c r="U37" s="458"/>
      <c r="V37" s="541"/>
      <c r="W37" s="464"/>
      <c r="X37" s="2">
        <v>20</v>
      </c>
    </row>
    <row r="38" spans="1:24" s="2" customFormat="1" x14ac:dyDescent="0.3">
      <c r="A38" s="453"/>
      <c r="B38" s="450"/>
      <c r="C38" s="450"/>
      <c r="D38" s="450"/>
      <c r="E38" s="450"/>
      <c r="F38" s="456"/>
      <c r="G38" s="545"/>
      <c r="H38" s="459"/>
      <c r="I38" s="471"/>
      <c r="J38" s="548"/>
      <c r="K38" s="551"/>
      <c r="L38" s="450"/>
      <c r="M38" s="450"/>
      <c r="N38" s="384"/>
      <c r="O38" s="456"/>
      <c r="P38" s="379">
        <v>6526.92</v>
      </c>
      <c r="Q38" s="380"/>
      <c r="R38" s="381"/>
      <c r="S38" s="379"/>
      <c r="T38" s="379"/>
      <c r="U38" s="459"/>
      <c r="V38" s="542"/>
      <c r="W38" s="465"/>
      <c r="X38" s="2">
        <v>20</v>
      </c>
    </row>
    <row r="39" spans="1:24" s="106" customFormat="1" ht="72" customHeight="1" x14ac:dyDescent="0.3">
      <c r="A39" s="451">
        <v>4</v>
      </c>
      <c r="B39" s="448" t="s">
        <v>56</v>
      </c>
      <c r="C39" s="448" t="s">
        <v>146</v>
      </c>
      <c r="D39" s="448" t="s">
        <v>147</v>
      </c>
      <c r="E39" s="448" t="s">
        <v>172</v>
      </c>
      <c r="F39" s="454">
        <v>45654</v>
      </c>
      <c r="G39" s="543" t="s">
        <v>148</v>
      </c>
      <c r="H39" s="457">
        <v>50565.84</v>
      </c>
      <c r="I39" s="469">
        <f>IF(X39 = 21, H39 + SUM(S39:S45) - SUM(T39:T45) - SUM(P39:P45) - V39,0)</f>
        <v>21926.449999999997</v>
      </c>
      <c r="J39" s="546">
        <v>2308131994</v>
      </c>
      <c r="K39" s="549" t="s">
        <v>161</v>
      </c>
      <c r="L39" s="448" t="s">
        <v>146</v>
      </c>
      <c r="M39" s="448"/>
      <c r="N39" s="382">
        <v>45688</v>
      </c>
      <c r="O39" s="454" t="s">
        <v>169</v>
      </c>
      <c r="P39" s="373">
        <v>4042.35</v>
      </c>
      <c r="Q39" s="374">
        <v>45692</v>
      </c>
      <c r="R39" s="375"/>
      <c r="S39" s="373"/>
      <c r="T39" s="373"/>
      <c r="U39" s="457"/>
      <c r="V39" s="540"/>
      <c r="W39" s="463"/>
      <c r="X39" s="106">
        <v>21</v>
      </c>
    </row>
    <row r="40" spans="1:24" s="2" customFormat="1" x14ac:dyDescent="0.3">
      <c r="A40" s="452"/>
      <c r="B40" s="449"/>
      <c r="C40" s="449"/>
      <c r="D40" s="449"/>
      <c r="E40" s="449"/>
      <c r="F40" s="455"/>
      <c r="G40" s="544"/>
      <c r="H40" s="458"/>
      <c r="I40" s="470"/>
      <c r="J40" s="547"/>
      <c r="K40" s="550"/>
      <c r="L40" s="449"/>
      <c r="M40" s="449"/>
      <c r="N40" s="383">
        <v>45716</v>
      </c>
      <c r="O40" s="455"/>
      <c r="P40" s="376">
        <v>4042.35</v>
      </c>
      <c r="Q40" s="377">
        <v>45727</v>
      </c>
      <c r="R40" s="378"/>
      <c r="S40" s="376"/>
      <c r="T40" s="376"/>
      <c r="U40" s="458"/>
      <c r="V40" s="541"/>
      <c r="W40" s="464"/>
      <c r="X40" s="2">
        <v>21</v>
      </c>
    </row>
    <row r="41" spans="1:24" s="2" customFormat="1" x14ac:dyDescent="0.3">
      <c r="A41" s="452"/>
      <c r="B41" s="449"/>
      <c r="C41" s="449"/>
      <c r="D41" s="449"/>
      <c r="E41" s="449"/>
      <c r="F41" s="455"/>
      <c r="G41" s="544"/>
      <c r="H41" s="458"/>
      <c r="I41" s="470"/>
      <c r="J41" s="547"/>
      <c r="K41" s="550"/>
      <c r="L41" s="449"/>
      <c r="M41" s="449"/>
      <c r="N41" s="383" t="s">
        <v>275</v>
      </c>
      <c r="O41" s="455"/>
      <c r="P41" s="376">
        <v>4042.35</v>
      </c>
      <c r="Q41" s="377">
        <v>45749</v>
      </c>
      <c r="R41" s="378"/>
      <c r="S41" s="376"/>
      <c r="T41" s="376"/>
      <c r="U41" s="458"/>
      <c r="V41" s="541"/>
      <c r="W41" s="464"/>
      <c r="X41" s="2">
        <v>21</v>
      </c>
    </row>
    <row r="42" spans="1:24" s="2" customFormat="1" x14ac:dyDescent="0.3">
      <c r="A42" s="452"/>
      <c r="B42" s="449"/>
      <c r="C42" s="449"/>
      <c r="D42" s="449"/>
      <c r="E42" s="449"/>
      <c r="F42" s="455"/>
      <c r="G42" s="544"/>
      <c r="H42" s="458"/>
      <c r="I42" s="470"/>
      <c r="J42" s="547"/>
      <c r="K42" s="550"/>
      <c r="L42" s="449"/>
      <c r="M42" s="449"/>
      <c r="N42" s="383">
        <v>45777</v>
      </c>
      <c r="O42" s="455"/>
      <c r="P42" s="376">
        <v>4042.35</v>
      </c>
      <c r="Q42" s="377">
        <v>45789</v>
      </c>
      <c r="R42" s="378"/>
      <c r="S42" s="376"/>
      <c r="T42" s="376"/>
      <c r="U42" s="458"/>
      <c r="V42" s="541"/>
      <c r="W42" s="464"/>
      <c r="X42" s="2">
        <v>21</v>
      </c>
    </row>
    <row r="43" spans="1:24" s="2" customFormat="1" x14ac:dyDescent="0.3">
      <c r="A43" s="452"/>
      <c r="B43" s="449"/>
      <c r="C43" s="449"/>
      <c r="D43" s="449"/>
      <c r="E43" s="449"/>
      <c r="F43" s="455"/>
      <c r="G43" s="544"/>
      <c r="H43" s="458"/>
      <c r="I43" s="470"/>
      <c r="J43" s="547"/>
      <c r="K43" s="550"/>
      <c r="L43" s="449"/>
      <c r="M43" s="449"/>
      <c r="N43" s="383">
        <v>45808</v>
      </c>
      <c r="O43" s="455"/>
      <c r="P43" s="376">
        <v>4042.35</v>
      </c>
      <c r="Q43" s="377">
        <v>45812</v>
      </c>
      <c r="R43" s="378"/>
      <c r="S43" s="376"/>
      <c r="T43" s="376"/>
      <c r="U43" s="458"/>
      <c r="V43" s="541"/>
      <c r="W43" s="464"/>
      <c r="X43" s="2">
        <v>21</v>
      </c>
    </row>
    <row r="44" spans="1:24" s="2" customFormat="1" x14ac:dyDescent="0.3">
      <c r="A44" s="452"/>
      <c r="B44" s="449"/>
      <c r="C44" s="449"/>
      <c r="D44" s="449"/>
      <c r="E44" s="449"/>
      <c r="F44" s="455"/>
      <c r="G44" s="544"/>
      <c r="H44" s="458"/>
      <c r="I44" s="470"/>
      <c r="J44" s="547"/>
      <c r="K44" s="550"/>
      <c r="L44" s="449"/>
      <c r="M44" s="449"/>
      <c r="N44" s="383">
        <v>45838</v>
      </c>
      <c r="O44" s="455"/>
      <c r="P44" s="376">
        <v>4042.35</v>
      </c>
      <c r="Q44" s="377">
        <v>45847</v>
      </c>
      <c r="R44" s="378"/>
      <c r="S44" s="376"/>
      <c r="T44" s="376"/>
      <c r="U44" s="458"/>
      <c r="V44" s="541"/>
      <c r="W44" s="464"/>
      <c r="X44" s="2">
        <v>21</v>
      </c>
    </row>
    <row r="45" spans="1:24" s="2" customFormat="1" x14ac:dyDescent="0.3">
      <c r="A45" s="453"/>
      <c r="B45" s="450"/>
      <c r="C45" s="450"/>
      <c r="D45" s="450"/>
      <c r="E45" s="450"/>
      <c r="F45" s="456"/>
      <c r="G45" s="545"/>
      <c r="H45" s="459"/>
      <c r="I45" s="471"/>
      <c r="J45" s="548"/>
      <c r="K45" s="551"/>
      <c r="L45" s="450"/>
      <c r="M45" s="450"/>
      <c r="N45" s="384">
        <v>45869</v>
      </c>
      <c r="O45" s="456"/>
      <c r="P45" s="379">
        <v>4385.29</v>
      </c>
      <c r="Q45" s="380">
        <v>45873</v>
      </c>
      <c r="R45" s="381"/>
      <c r="S45" s="379"/>
      <c r="T45" s="379"/>
      <c r="U45" s="459"/>
      <c r="V45" s="542"/>
      <c r="W45" s="465"/>
      <c r="X45" s="2">
        <v>21</v>
      </c>
    </row>
    <row r="46" spans="1:24" s="106" customFormat="1" ht="187.5" customHeight="1" x14ac:dyDescent="0.3">
      <c r="A46" s="579">
        <v>5</v>
      </c>
      <c r="B46" s="611" t="s">
        <v>56</v>
      </c>
      <c r="C46" s="611" t="s">
        <v>146</v>
      </c>
      <c r="D46" s="611" t="s">
        <v>147</v>
      </c>
      <c r="E46" s="611" t="s">
        <v>36</v>
      </c>
      <c r="F46" s="613">
        <v>45654</v>
      </c>
      <c r="G46" s="615" t="s">
        <v>185</v>
      </c>
      <c r="H46" s="609">
        <v>17500</v>
      </c>
      <c r="I46" s="617">
        <f>IF(X46 = 22, H46 + SUM(S46:S50) - SUM(T46:T50) - SUM(P46:P50) - V46,0)</f>
        <v>7500</v>
      </c>
      <c r="J46" s="619">
        <v>235301271520</v>
      </c>
      <c r="K46" s="621" t="s">
        <v>158</v>
      </c>
      <c r="L46" s="611" t="s">
        <v>146</v>
      </c>
      <c r="M46" s="611"/>
      <c r="N46" s="108">
        <v>45681</v>
      </c>
      <c r="O46" s="613" t="s">
        <v>183</v>
      </c>
      <c r="P46" s="109">
        <v>2500</v>
      </c>
      <c r="Q46" s="110">
        <v>45693</v>
      </c>
      <c r="R46" s="111"/>
      <c r="S46" s="109"/>
      <c r="T46" s="109"/>
      <c r="U46" s="609"/>
      <c r="V46" s="572"/>
      <c r="W46" s="585"/>
      <c r="X46" s="106">
        <v>22</v>
      </c>
    </row>
    <row r="47" spans="1:24" s="2" customFormat="1" x14ac:dyDescent="0.3">
      <c r="A47" s="580"/>
      <c r="B47" s="612"/>
      <c r="C47" s="612"/>
      <c r="D47" s="612"/>
      <c r="E47" s="612"/>
      <c r="F47" s="614"/>
      <c r="G47" s="616"/>
      <c r="H47" s="610"/>
      <c r="I47" s="618"/>
      <c r="J47" s="620"/>
      <c r="K47" s="622"/>
      <c r="L47" s="612"/>
      <c r="M47" s="612"/>
      <c r="N47" s="112">
        <v>45713</v>
      </c>
      <c r="O47" s="614"/>
      <c r="P47" s="113">
        <v>2500</v>
      </c>
      <c r="Q47" s="114">
        <v>45716</v>
      </c>
      <c r="R47" s="115"/>
      <c r="S47" s="113"/>
      <c r="T47" s="113"/>
      <c r="U47" s="610"/>
      <c r="V47" s="573"/>
      <c r="W47" s="586"/>
      <c r="X47" s="2">
        <v>22</v>
      </c>
    </row>
    <row r="48" spans="1:24" s="2" customFormat="1" x14ac:dyDescent="0.3">
      <c r="A48" s="580"/>
      <c r="B48" s="612"/>
      <c r="C48" s="612"/>
      <c r="D48" s="612"/>
      <c r="E48" s="612"/>
      <c r="F48" s="614"/>
      <c r="G48" s="616"/>
      <c r="H48" s="610"/>
      <c r="I48" s="618"/>
      <c r="J48" s="620"/>
      <c r="K48" s="622"/>
      <c r="L48" s="612"/>
      <c r="M48" s="612"/>
      <c r="N48" s="112">
        <v>45741</v>
      </c>
      <c r="O48" s="614"/>
      <c r="P48" s="113">
        <v>2500</v>
      </c>
      <c r="Q48" s="114">
        <v>45742</v>
      </c>
      <c r="R48" s="115"/>
      <c r="S48" s="113"/>
      <c r="T48" s="113"/>
      <c r="U48" s="610"/>
      <c r="V48" s="573"/>
      <c r="W48" s="586"/>
      <c r="X48" s="2">
        <v>22</v>
      </c>
    </row>
    <row r="49" spans="1:24" s="2" customFormat="1" x14ac:dyDescent="0.3">
      <c r="A49" s="580"/>
      <c r="B49" s="612"/>
      <c r="C49" s="612"/>
      <c r="D49" s="612"/>
      <c r="E49" s="612"/>
      <c r="F49" s="614"/>
      <c r="G49" s="616"/>
      <c r="H49" s="610"/>
      <c r="I49" s="618"/>
      <c r="J49" s="620"/>
      <c r="K49" s="622"/>
      <c r="L49" s="612"/>
      <c r="M49" s="612"/>
      <c r="N49" s="112">
        <v>45771</v>
      </c>
      <c r="O49" s="614"/>
      <c r="P49" s="113">
        <v>2500</v>
      </c>
      <c r="Q49" s="114">
        <v>45777</v>
      </c>
      <c r="R49" s="115"/>
      <c r="S49" s="113"/>
      <c r="T49" s="113"/>
      <c r="U49" s="610"/>
      <c r="V49" s="573"/>
      <c r="W49" s="586"/>
      <c r="X49" s="2">
        <v>22</v>
      </c>
    </row>
    <row r="50" spans="1:24" s="2" customFormat="1" x14ac:dyDescent="0.3">
      <c r="A50" s="580"/>
      <c r="B50" s="612"/>
      <c r="C50" s="612"/>
      <c r="D50" s="612"/>
      <c r="E50" s="612"/>
      <c r="F50" s="614"/>
      <c r="G50" s="616"/>
      <c r="H50" s="610"/>
      <c r="I50" s="618"/>
      <c r="J50" s="620"/>
      <c r="K50" s="622"/>
      <c r="L50" s="612"/>
      <c r="M50" s="612"/>
      <c r="N50" s="112"/>
      <c r="O50" s="614"/>
      <c r="P50" s="113"/>
      <c r="Q50" s="114"/>
      <c r="R50" s="115"/>
      <c r="S50" s="113"/>
      <c r="T50" s="113"/>
      <c r="U50" s="610"/>
      <c r="V50" s="573"/>
      <c r="W50" s="586"/>
      <c r="X50" s="2">
        <v>22</v>
      </c>
    </row>
    <row r="51" spans="1:24" s="106" customFormat="1" ht="187.5" customHeight="1" x14ac:dyDescent="0.3">
      <c r="A51" s="451">
        <v>6</v>
      </c>
      <c r="B51" s="448" t="s">
        <v>56</v>
      </c>
      <c r="C51" s="448" t="s">
        <v>146</v>
      </c>
      <c r="D51" s="448" t="s">
        <v>147</v>
      </c>
      <c r="E51" s="448" t="s">
        <v>111</v>
      </c>
      <c r="F51" s="454">
        <v>45654</v>
      </c>
      <c r="G51" s="543" t="s">
        <v>186</v>
      </c>
      <c r="H51" s="457">
        <v>17400</v>
      </c>
      <c r="I51" s="469">
        <f>IF(X51 = 23, H51 + SUM(S51:S57) - SUM(T51:T57) - SUM(P51:P57) - V51,0)</f>
        <v>7250</v>
      </c>
      <c r="J51" s="546">
        <v>231107998282</v>
      </c>
      <c r="K51" s="549" t="s">
        <v>187</v>
      </c>
      <c r="L51" s="448" t="s">
        <v>146</v>
      </c>
      <c r="M51" s="448"/>
      <c r="N51" s="382">
        <v>45688</v>
      </c>
      <c r="O51" s="454" t="s">
        <v>183</v>
      </c>
      <c r="P51" s="373">
        <v>1450</v>
      </c>
      <c r="Q51" s="374">
        <v>45693</v>
      </c>
      <c r="R51" s="375"/>
      <c r="S51" s="373"/>
      <c r="T51" s="373"/>
      <c r="U51" s="457"/>
      <c r="V51" s="540"/>
      <c r="W51" s="463"/>
      <c r="X51" s="106">
        <v>23</v>
      </c>
    </row>
    <row r="52" spans="1:24" s="2" customFormat="1" x14ac:dyDescent="0.3">
      <c r="A52" s="452"/>
      <c r="B52" s="449"/>
      <c r="C52" s="449"/>
      <c r="D52" s="449"/>
      <c r="E52" s="449"/>
      <c r="F52" s="455"/>
      <c r="G52" s="544"/>
      <c r="H52" s="458"/>
      <c r="I52" s="470"/>
      <c r="J52" s="547"/>
      <c r="K52" s="550"/>
      <c r="L52" s="449"/>
      <c r="M52" s="449"/>
      <c r="N52" s="383">
        <v>45716</v>
      </c>
      <c r="O52" s="455"/>
      <c r="P52" s="376">
        <v>1450</v>
      </c>
      <c r="Q52" s="377">
        <v>45716</v>
      </c>
      <c r="R52" s="378"/>
      <c r="S52" s="376"/>
      <c r="T52" s="376"/>
      <c r="U52" s="458"/>
      <c r="V52" s="541"/>
      <c r="W52" s="464"/>
      <c r="X52" s="2">
        <v>23</v>
      </c>
    </row>
    <row r="53" spans="1:24" s="2" customFormat="1" x14ac:dyDescent="0.3">
      <c r="A53" s="452"/>
      <c r="B53" s="449"/>
      <c r="C53" s="449"/>
      <c r="D53" s="449"/>
      <c r="E53" s="449"/>
      <c r="F53" s="455"/>
      <c r="G53" s="544"/>
      <c r="H53" s="458"/>
      <c r="I53" s="470"/>
      <c r="J53" s="547"/>
      <c r="K53" s="550"/>
      <c r="L53" s="449"/>
      <c r="M53" s="449"/>
      <c r="N53" s="383">
        <v>45747</v>
      </c>
      <c r="O53" s="455"/>
      <c r="P53" s="376">
        <v>1450</v>
      </c>
      <c r="Q53" s="377">
        <v>45748</v>
      </c>
      <c r="R53" s="378"/>
      <c r="S53" s="376"/>
      <c r="T53" s="376"/>
      <c r="U53" s="458"/>
      <c r="V53" s="541"/>
      <c r="W53" s="464"/>
      <c r="X53" s="2">
        <v>23</v>
      </c>
    </row>
    <row r="54" spans="1:24" s="2" customFormat="1" x14ac:dyDescent="0.3">
      <c r="A54" s="452"/>
      <c r="B54" s="449"/>
      <c r="C54" s="449"/>
      <c r="D54" s="449"/>
      <c r="E54" s="449"/>
      <c r="F54" s="455"/>
      <c r="G54" s="544"/>
      <c r="H54" s="458"/>
      <c r="I54" s="470"/>
      <c r="J54" s="547"/>
      <c r="K54" s="550"/>
      <c r="L54" s="449"/>
      <c r="M54" s="449"/>
      <c r="N54" s="383">
        <v>45777</v>
      </c>
      <c r="O54" s="455"/>
      <c r="P54" s="376">
        <v>1450</v>
      </c>
      <c r="Q54" s="377">
        <v>45777</v>
      </c>
      <c r="R54" s="378"/>
      <c r="S54" s="376"/>
      <c r="T54" s="376"/>
      <c r="U54" s="458"/>
      <c r="V54" s="541"/>
      <c r="W54" s="464"/>
      <c r="X54" s="2">
        <v>23</v>
      </c>
    </row>
    <row r="55" spans="1:24" s="2" customFormat="1" x14ac:dyDescent="0.3">
      <c r="A55" s="452"/>
      <c r="B55" s="449"/>
      <c r="C55" s="449"/>
      <c r="D55" s="449"/>
      <c r="E55" s="449"/>
      <c r="F55" s="455"/>
      <c r="G55" s="544"/>
      <c r="H55" s="458"/>
      <c r="I55" s="470"/>
      <c r="J55" s="547"/>
      <c r="K55" s="550"/>
      <c r="L55" s="449"/>
      <c r="M55" s="449"/>
      <c r="N55" s="383">
        <v>45808</v>
      </c>
      <c r="O55" s="455"/>
      <c r="P55" s="376">
        <v>1450</v>
      </c>
      <c r="Q55" s="377">
        <v>45812</v>
      </c>
      <c r="R55" s="378"/>
      <c r="S55" s="376"/>
      <c r="T55" s="376"/>
      <c r="U55" s="458"/>
      <c r="V55" s="541"/>
      <c r="W55" s="464"/>
      <c r="X55" s="2">
        <v>23</v>
      </c>
    </row>
    <row r="56" spans="1:24" s="2" customFormat="1" x14ac:dyDescent="0.3">
      <c r="A56" s="452"/>
      <c r="B56" s="449"/>
      <c r="C56" s="449"/>
      <c r="D56" s="449"/>
      <c r="E56" s="449"/>
      <c r="F56" s="455"/>
      <c r="G56" s="544"/>
      <c r="H56" s="458"/>
      <c r="I56" s="470"/>
      <c r="J56" s="547"/>
      <c r="K56" s="550"/>
      <c r="L56" s="449"/>
      <c r="M56" s="449"/>
      <c r="N56" s="383">
        <v>45838</v>
      </c>
      <c r="O56" s="455"/>
      <c r="P56" s="376">
        <v>1450</v>
      </c>
      <c r="Q56" s="377">
        <v>45873</v>
      </c>
      <c r="R56" s="378"/>
      <c r="S56" s="376"/>
      <c r="T56" s="376"/>
      <c r="U56" s="458"/>
      <c r="V56" s="541"/>
      <c r="W56" s="464"/>
      <c r="X56" s="2">
        <v>23</v>
      </c>
    </row>
    <row r="57" spans="1:24" s="2" customFormat="1" x14ac:dyDescent="0.3">
      <c r="A57" s="453"/>
      <c r="B57" s="450"/>
      <c r="C57" s="450"/>
      <c r="D57" s="450"/>
      <c r="E57" s="450"/>
      <c r="F57" s="456"/>
      <c r="G57" s="545"/>
      <c r="H57" s="459"/>
      <c r="I57" s="471"/>
      <c r="J57" s="548"/>
      <c r="K57" s="551"/>
      <c r="L57" s="450"/>
      <c r="M57" s="450"/>
      <c r="N57" s="384">
        <v>45869</v>
      </c>
      <c r="O57" s="456"/>
      <c r="P57" s="379">
        <v>1450</v>
      </c>
      <c r="Q57" s="380">
        <v>45873</v>
      </c>
      <c r="R57" s="381"/>
      <c r="S57" s="379"/>
      <c r="T57" s="379"/>
      <c r="U57" s="459"/>
      <c r="V57" s="542"/>
      <c r="W57" s="465"/>
      <c r="X57" s="2">
        <v>23</v>
      </c>
    </row>
    <row r="58" spans="1:24" s="106" customFormat="1" ht="90" customHeight="1" x14ac:dyDescent="0.3">
      <c r="A58" s="484">
        <v>7</v>
      </c>
      <c r="B58" s="472" t="s">
        <v>56</v>
      </c>
      <c r="C58" s="472" t="s">
        <v>146</v>
      </c>
      <c r="D58" s="472" t="s">
        <v>175</v>
      </c>
      <c r="E58" s="472" t="s">
        <v>201</v>
      </c>
      <c r="F58" s="475">
        <v>45654</v>
      </c>
      <c r="G58" s="576" t="s">
        <v>184</v>
      </c>
      <c r="H58" s="478">
        <v>9600</v>
      </c>
      <c r="I58" s="481">
        <f>IF(X58 = 24, H58 + SUM(S58:S59) - SUM(T58:T59) - SUM(P58:P59) - V58,0)</f>
        <v>4800</v>
      </c>
      <c r="J58" s="581">
        <v>2369000660</v>
      </c>
      <c r="K58" s="583" t="s">
        <v>157</v>
      </c>
      <c r="L58" s="472" t="s">
        <v>146</v>
      </c>
      <c r="M58" s="472"/>
      <c r="N58" s="316">
        <v>45747</v>
      </c>
      <c r="O58" s="475" t="s">
        <v>183</v>
      </c>
      <c r="P58" s="307">
        <v>2400</v>
      </c>
      <c r="Q58" s="308">
        <v>45748</v>
      </c>
      <c r="R58" s="309"/>
      <c r="S58" s="307"/>
      <c r="T58" s="307"/>
      <c r="U58" s="478"/>
      <c r="V58" s="574"/>
      <c r="W58" s="490"/>
      <c r="X58" s="106">
        <v>24</v>
      </c>
    </row>
    <row r="59" spans="1:24" s="2" customFormat="1" x14ac:dyDescent="0.3">
      <c r="A59" s="486"/>
      <c r="B59" s="474"/>
      <c r="C59" s="474"/>
      <c r="D59" s="474"/>
      <c r="E59" s="474"/>
      <c r="F59" s="477"/>
      <c r="G59" s="577"/>
      <c r="H59" s="480"/>
      <c r="I59" s="483"/>
      <c r="J59" s="582"/>
      <c r="K59" s="584"/>
      <c r="L59" s="474"/>
      <c r="M59" s="474"/>
      <c r="N59" s="317">
        <v>45838</v>
      </c>
      <c r="O59" s="477"/>
      <c r="P59" s="313">
        <v>2400</v>
      </c>
      <c r="Q59" s="314">
        <v>45846</v>
      </c>
      <c r="R59" s="315"/>
      <c r="S59" s="313"/>
      <c r="T59" s="313"/>
      <c r="U59" s="480"/>
      <c r="V59" s="575"/>
      <c r="W59" s="492"/>
      <c r="X59" s="2">
        <v>24</v>
      </c>
    </row>
    <row r="60" spans="1:24" s="106" customFormat="1" ht="131.25" customHeight="1" x14ac:dyDescent="0.3">
      <c r="A60" s="451">
        <v>8</v>
      </c>
      <c r="B60" s="448" t="s">
        <v>56</v>
      </c>
      <c r="C60" s="448" t="s">
        <v>146</v>
      </c>
      <c r="D60" s="448" t="s">
        <v>176</v>
      </c>
      <c r="E60" s="448" t="s">
        <v>110</v>
      </c>
      <c r="F60" s="454">
        <v>45654</v>
      </c>
      <c r="G60" s="543" t="s">
        <v>188</v>
      </c>
      <c r="H60" s="457">
        <v>30000</v>
      </c>
      <c r="I60" s="469">
        <f>IF(X60 = 25, H60 + SUM(S60:S66) - SUM(T60:T66) - SUM(P60:P66) - V60,0)</f>
        <v>12500</v>
      </c>
      <c r="J60" s="546">
        <v>231107998282</v>
      </c>
      <c r="K60" s="549" t="s">
        <v>187</v>
      </c>
      <c r="L60" s="448" t="s">
        <v>146</v>
      </c>
      <c r="M60" s="448"/>
      <c r="N60" s="382">
        <v>45688</v>
      </c>
      <c r="O60" s="454" t="s">
        <v>183</v>
      </c>
      <c r="P60" s="373">
        <v>2500</v>
      </c>
      <c r="Q60" s="374">
        <v>45693</v>
      </c>
      <c r="R60" s="375"/>
      <c r="S60" s="373"/>
      <c r="T60" s="373"/>
      <c r="U60" s="457"/>
      <c r="V60" s="540"/>
      <c r="W60" s="463"/>
      <c r="X60" s="106">
        <v>25</v>
      </c>
    </row>
    <row r="61" spans="1:24" s="2" customFormat="1" x14ac:dyDescent="0.3">
      <c r="A61" s="452"/>
      <c r="B61" s="449"/>
      <c r="C61" s="449"/>
      <c r="D61" s="449"/>
      <c r="E61" s="449"/>
      <c r="F61" s="455"/>
      <c r="G61" s="544"/>
      <c r="H61" s="458"/>
      <c r="I61" s="470"/>
      <c r="J61" s="547"/>
      <c r="K61" s="550"/>
      <c r="L61" s="449"/>
      <c r="M61" s="449"/>
      <c r="N61" s="383">
        <v>45716</v>
      </c>
      <c r="O61" s="455"/>
      <c r="P61" s="376">
        <v>2500</v>
      </c>
      <c r="Q61" s="377">
        <v>45716</v>
      </c>
      <c r="R61" s="378"/>
      <c r="S61" s="376"/>
      <c r="T61" s="376"/>
      <c r="U61" s="458"/>
      <c r="V61" s="541"/>
      <c r="W61" s="464"/>
      <c r="X61" s="2">
        <v>25</v>
      </c>
    </row>
    <row r="62" spans="1:24" s="2" customFormat="1" x14ac:dyDescent="0.3">
      <c r="A62" s="452"/>
      <c r="B62" s="449"/>
      <c r="C62" s="449"/>
      <c r="D62" s="449"/>
      <c r="E62" s="449"/>
      <c r="F62" s="455"/>
      <c r="G62" s="544"/>
      <c r="H62" s="458"/>
      <c r="I62" s="470"/>
      <c r="J62" s="547"/>
      <c r="K62" s="550"/>
      <c r="L62" s="449"/>
      <c r="M62" s="449"/>
      <c r="N62" s="383">
        <v>45747</v>
      </c>
      <c r="O62" s="455"/>
      <c r="P62" s="376">
        <v>2500</v>
      </c>
      <c r="Q62" s="377">
        <v>45748</v>
      </c>
      <c r="R62" s="378"/>
      <c r="S62" s="376"/>
      <c r="T62" s="376"/>
      <c r="U62" s="458"/>
      <c r="V62" s="541"/>
      <c r="W62" s="464"/>
      <c r="X62" s="2">
        <v>25</v>
      </c>
    </row>
    <row r="63" spans="1:24" s="2" customFormat="1" x14ac:dyDescent="0.3">
      <c r="A63" s="452"/>
      <c r="B63" s="449"/>
      <c r="C63" s="449"/>
      <c r="D63" s="449"/>
      <c r="E63" s="449"/>
      <c r="F63" s="455"/>
      <c r="G63" s="544"/>
      <c r="H63" s="458"/>
      <c r="I63" s="470"/>
      <c r="J63" s="547"/>
      <c r="K63" s="550"/>
      <c r="L63" s="449"/>
      <c r="M63" s="449"/>
      <c r="N63" s="383">
        <v>45777</v>
      </c>
      <c r="O63" s="455"/>
      <c r="P63" s="376">
        <v>2500</v>
      </c>
      <c r="Q63" s="377">
        <v>45777</v>
      </c>
      <c r="R63" s="378"/>
      <c r="S63" s="376"/>
      <c r="T63" s="376"/>
      <c r="U63" s="458"/>
      <c r="V63" s="541"/>
      <c r="W63" s="464"/>
      <c r="X63" s="2">
        <v>25</v>
      </c>
    </row>
    <row r="64" spans="1:24" s="2" customFormat="1" x14ac:dyDescent="0.3">
      <c r="A64" s="452"/>
      <c r="B64" s="449"/>
      <c r="C64" s="449"/>
      <c r="D64" s="449"/>
      <c r="E64" s="449"/>
      <c r="F64" s="455"/>
      <c r="G64" s="544"/>
      <c r="H64" s="458"/>
      <c r="I64" s="470"/>
      <c r="J64" s="547"/>
      <c r="K64" s="550"/>
      <c r="L64" s="449"/>
      <c r="M64" s="449"/>
      <c r="N64" s="383">
        <v>45808</v>
      </c>
      <c r="O64" s="455"/>
      <c r="P64" s="376">
        <v>2500</v>
      </c>
      <c r="Q64" s="377">
        <v>45812</v>
      </c>
      <c r="R64" s="378"/>
      <c r="S64" s="376"/>
      <c r="T64" s="376"/>
      <c r="U64" s="458"/>
      <c r="V64" s="541"/>
      <c r="W64" s="464"/>
      <c r="X64" s="2">
        <v>25</v>
      </c>
    </row>
    <row r="65" spans="1:24" s="2" customFormat="1" x14ac:dyDescent="0.3">
      <c r="A65" s="452"/>
      <c r="B65" s="449"/>
      <c r="C65" s="449"/>
      <c r="D65" s="449"/>
      <c r="E65" s="449"/>
      <c r="F65" s="455"/>
      <c r="G65" s="544"/>
      <c r="H65" s="458"/>
      <c r="I65" s="470"/>
      <c r="J65" s="547"/>
      <c r="K65" s="550"/>
      <c r="L65" s="449"/>
      <c r="M65" s="449"/>
      <c r="N65" s="383">
        <v>45838</v>
      </c>
      <c r="O65" s="455"/>
      <c r="P65" s="376">
        <v>2500</v>
      </c>
      <c r="Q65" s="377">
        <v>45873</v>
      </c>
      <c r="R65" s="378"/>
      <c r="S65" s="376"/>
      <c r="T65" s="376"/>
      <c r="U65" s="458"/>
      <c r="V65" s="541"/>
      <c r="W65" s="464"/>
      <c r="X65" s="2">
        <v>25</v>
      </c>
    </row>
    <row r="66" spans="1:24" s="2" customFormat="1" x14ac:dyDescent="0.3">
      <c r="A66" s="453"/>
      <c r="B66" s="450"/>
      <c r="C66" s="450"/>
      <c r="D66" s="450"/>
      <c r="E66" s="450"/>
      <c r="F66" s="456"/>
      <c r="G66" s="545"/>
      <c r="H66" s="459"/>
      <c r="I66" s="471"/>
      <c r="J66" s="548"/>
      <c r="K66" s="551"/>
      <c r="L66" s="450"/>
      <c r="M66" s="450"/>
      <c r="N66" s="384">
        <v>45869</v>
      </c>
      <c r="O66" s="456"/>
      <c r="P66" s="379">
        <v>2500</v>
      </c>
      <c r="Q66" s="380">
        <v>45873</v>
      </c>
      <c r="R66" s="381"/>
      <c r="S66" s="379"/>
      <c r="T66" s="379"/>
      <c r="U66" s="459"/>
      <c r="V66" s="542"/>
      <c r="W66" s="465"/>
      <c r="X66" s="2">
        <v>25</v>
      </c>
    </row>
    <row r="67" spans="1:24" s="106" customFormat="1" ht="90" customHeight="1" x14ac:dyDescent="0.3">
      <c r="A67" s="512">
        <v>9</v>
      </c>
      <c r="B67" s="505" t="s">
        <v>56</v>
      </c>
      <c r="C67" s="505" t="s">
        <v>146</v>
      </c>
      <c r="D67" s="505" t="s">
        <v>147</v>
      </c>
      <c r="E67" s="505" t="s">
        <v>112</v>
      </c>
      <c r="F67" s="514">
        <v>45654</v>
      </c>
      <c r="G67" s="650" t="s">
        <v>189</v>
      </c>
      <c r="H67" s="516">
        <v>195031.2</v>
      </c>
      <c r="I67" s="532">
        <f>IF(X67 = 26, H67 + SUM(S67:S81) - SUM(T67:T81) - SUM(P67:P81) - V67,0)</f>
        <v>55421.400000000023</v>
      </c>
      <c r="J67" s="654">
        <v>2353020735</v>
      </c>
      <c r="K67" s="657" t="s">
        <v>156</v>
      </c>
      <c r="L67" s="505" t="s">
        <v>146</v>
      </c>
      <c r="M67" s="505"/>
      <c r="N67" s="201">
        <v>45688</v>
      </c>
      <c r="O67" s="514" t="s">
        <v>183</v>
      </c>
      <c r="P67" s="192">
        <v>5812.8</v>
      </c>
      <c r="Q67" s="193">
        <v>45706</v>
      </c>
      <c r="R67" s="194"/>
      <c r="S67" s="192"/>
      <c r="T67" s="192"/>
      <c r="U67" s="516"/>
      <c r="V67" s="646"/>
      <c r="W67" s="536"/>
      <c r="X67" s="106">
        <v>26</v>
      </c>
    </row>
    <row r="68" spans="1:24" s="2" customFormat="1" x14ac:dyDescent="0.3">
      <c r="A68" s="643"/>
      <c r="B68" s="578"/>
      <c r="C68" s="578"/>
      <c r="D68" s="578"/>
      <c r="E68" s="578"/>
      <c r="F68" s="644"/>
      <c r="G68" s="651"/>
      <c r="H68" s="645"/>
      <c r="I68" s="653"/>
      <c r="J68" s="655"/>
      <c r="K68" s="658"/>
      <c r="L68" s="578"/>
      <c r="M68" s="578"/>
      <c r="N68" s="202">
        <v>45688</v>
      </c>
      <c r="O68" s="644"/>
      <c r="P68" s="195">
        <v>1960</v>
      </c>
      <c r="Q68" s="196">
        <v>45706</v>
      </c>
      <c r="R68" s="197"/>
      <c r="S68" s="195"/>
      <c r="T68" s="195"/>
      <c r="U68" s="645"/>
      <c r="V68" s="647"/>
      <c r="W68" s="649"/>
      <c r="X68" s="2">
        <v>26</v>
      </c>
    </row>
    <row r="69" spans="1:24" s="2" customFormat="1" x14ac:dyDescent="0.3">
      <c r="A69" s="643"/>
      <c r="B69" s="578"/>
      <c r="C69" s="578"/>
      <c r="D69" s="578"/>
      <c r="E69" s="578"/>
      <c r="F69" s="644"/>
      <c r="G69" s="651"/>
      <c r="H69" s="645"/>
      <c r="I69" s="653"/>
      <c r="J69" s="655"/>
      <c r="K69" s="658"/>
      <c r="L69" s="578"/>
      <c r="M69" s="578"/>
      <c r="N69" s="202">
        <v>45688</v>
      </c>
      <c r="O69" s="644"/>
      <c r="P69" s="195">
        <v>10570</v>
      </c>
      <c r="Q69" s="196">
        <v>45706</v>
      </c>
      <c r="R69" s="197"/>
      <c r="S69" s="195"/>
      <c r="T69" s="195"/>
      <c r="U69" s="645"/>
      <c r="V69" s="647"/>
      <c r="W69" s="649"/>
      <c r="X69" s="2">
        <v>26</v>
      </c>
    </row>
    <row r="70" spans="1:24" s="2" customFormat="1" x14ac:dyDescent="0.3">
      <c r="A70" s="643"/>
      <c r="B70" s="578"/>
      <c r="C70" s="578"/>
      <c r="D70" s="578"/>
      <c r="E70" s="578"/>
      <c r="F70" s="644"/>
      <c r="G70" s="651"/>
      <c r="H70" s="645"/>
      <c r="I70" s="653"/>
      <c r="J70" s="655"/>
      <c r="K70" s="658"/>
      <c r="L70" s="578"/>
      <c r="M70" s="578"/>
      <c r="N70" s="202">
        <v>45688</v>
      </c>
      <c r="O70" s="644"/>
      <c r="P70" s="195">
        <v>17267.490000000002</v>
      </c>
      <c r="Q70" s="196">
        <v>45706</v>
      </c>
      <c r="R70" s="197"/>
      <c r="S70" s="195"/>
      <c r="T70" s="195"/>
      <c r="U70" s="645"/>
      <c r="V70" s="647"/>
      <c r="W70" s="649"/>
      <c r="X70" s="2">
        <v>26</v>
      </c>
    </row>
    <row r="71" spans="1:24" s="2" customFormat="1" x14ac:dyDescent="0.3">
      <c r="A71" s="643"/>
      <c r="B71" s="578"/>
      <c r="C71" s="578"/>
      <c r="D71" s="578"/>
      <c r="E71" s="578"/>
      <c r="F71" s="644"/>
      <c r="G71" s="651"/>
      <c r="H71" s="645"/>
      <c r="I71" s="653"/>
      <c r="J71" s="655"/>
      <c r="K71" s="658"/>
      <c r="L71" s="578"/>
      <c r="M71" s="578"/>
      <c r="N71" s="202">
        <v>45688</v>
      </c>
      <c r="O71" s="644"/>
      <c r="P71" s="195">
        <v>14128.11</v>
      </c>
      <c r="Q71" s="196">
        <v>45706</v>
      </c>
      <c r="R71" s="197"/>
      <c r="S71" s="195"/>
      <c r="T71" s="195"/>
      <c r="U71" s="645"/>
      <c r="V71" s="647"/>
      <c r="W71" s="649"/>
      <c r="X71" s="2">
        <v>26</v>
      </c>
    </row>
    <row r="72" spans="1:24" s="2" customFormat="1" x14ac:dyDescent="0.3">
      <c r="A72" s="643"/>
      <c r="B72" s="578"/>
      <c r="C72" s="578"/>
      <c r="D72" s="578"/>
      <c r="E72" s="578"/>
      <c r="F72" s="644"/>
      <c r="G72" s="651"/>
      <c r="H72" s="645"/>
      <c r="I72" s="653"/>
      <c r="J72" s="655"/>
      <c r="K72" s="658"/>
      <c r="L72" s="578"/>
      <c r="M72" s="578"/>
      <c r="N72" s="202">
        <v>45716</v>
      </c>
      <c r="O72" s="644"/>
      <c r="P72" s="195">
        <v>6228</v>
      </c>
      <c r="Q72" s="196">
        <v>45730</v>
      </c>
      <c r="R72" s="197"/>
      <c r="S72" s="195"/>
      <c r="T72" s="195"/>
      <c r="U72" s="645"/>
      <c r="V72" s="647"/>
      <c r="W72" s="649"/>
      <c r="X72" s="2">
        <v>26</v>
      </c>
    </row>
    <row r="73" spans="1:24" s="2" customFormat="1" x14ac:dyDescent="0.3">
      <c r="A73" s="643"/>
      <c r="B73" s="578"/>
      <c r="C73" s="578"/>
      <c r="D73" s="578"/>
      <c r="E73" s="578"/>
      <c r="F73" s="644"/>
      <c r="G73" s="651"/>
      <c r="H73" s="645"/>
      <c r="I73" s="653"/>
      <c r="J73" s="655"/>
      <c r="K73" s="658"/>
      <c r="L73" s="578"/>
      <c r="M73" s="578"/>
      <c r="N73" s="202">
        <v>45716</v>
      </c>
      <c r="O73" s="644"/>
      <c r="P73" s="195">
        <v>2100</v>
      </c>
      <c r="Q73" s="196">
        <v>45730</v>
      </c>
      <c r="R73" s="197"/>
      <c r="S73" s="195"/>
      <c r="T73" s="195"/>
      <c r="U73" s="645"/>
      <c r="V73" s="647"/>
      <c r="W73" s="649"/>
      <c r="X73" s="2">
        <v>26</v>
      </c>
    </row>
    <row r="74" spans="1:24" s="2" customFormat="1" x14ac:dyDescent="0.3">
      <c r="A74" s="643"/>
      <c r="B74" s="578"/>
      <c r="C74" s="578"/>
      <c r="D74" s="578"/>
      <c r="E74" s="578"/>
      <c r="F74" s="644"/>
      <c r="G74" s="651"/>
      <c r="H74" s="645"/>
      <c r="I74" s="653"/>
      <c r="J74" s="655"/>
      <c r="K74" s="658"/>
      <c r="L74" s="578"/>
      <c r="M74" s="578"/>
      <c r="N74" s="202">
        <v>45716</v>
      </c>
      <c r="O74" s="644"/>
      <c r="P74" s="195">
        <v>9590</v>
      </c>
      <c r="Q74" s="196">
        <v>45730</v>
      </c>
      <c r="R74" s="197"/>
      <c r="S74" s="195"/>
      <c r="T74" s="195"/>
      <c r="U74" s="645"/>
      <c r="V74" s="647"/>
      <c r="W74" s="649"/>
      <c r="X74" s="2">
        <v>26</v>
      </c>
    </row>
    <row r="75" spans="1:24" s="2" customFormat="1" x14ac:dyDescent="0.3">
      <c r="A75" s="643"/>
      <c r="B75" s="578"/>
      <c r="C75" s="578"/>
      <c r="D75" s="578"/>
      <c r="E75" s="578"/>
      <c r="F75" s="644"/>
      <c r="G75" s="651"/>
      <c r="H75" s="645"/>
      <c r="I75" s="653"/>
      <c r="J75" s="655"/>
      <c r="K75" s="658"/>
      <c r="L75" s="578"/>
      <c r="M75" s="578"/>
      <c r="N75" s="202">
        <v>45716</v>
      </c>
      <c r="O75" s="644"/>
      <c r="P75" s="195">
        <v>15661.72</v>
      </c>
      <c r="Q75" s="196">
        <v>45730</v>
      </c>
      <c r="R75" s="197"/>
      <c r="S75" s="195"/>
      <c r="T75" s="195"/>
      <c r="U75" s="645"/>
      <c r="V75" s="647"/>
      <c r="W75" s="649"/>
      <c r="X75" s="2">
        <v>26</v>
      </c>
    </row>
    <row r="76" spans="1:24" s="2" customFormat="1" x14ac:dyDescent="0.3">
      <c r="A76" s="643"/>
      <c r="B76" s="578"/>
      <c r="C76" s="578"/>
      <c r="D76" s="578"/>
      <c r="E76" s="578"/>
      <c r="F76" s="644"/>
      <c r="G76" s="651"/>
      <c r="H76" s="645"/>
      <c r="I76" s="653"/>
      <c r="J76" s="655"/>
      <c r="K76" s="658"/>
      <c r="L76" s="578"/>
      <c r="M76" s="578"/>
      <c r="N76" s="202">
        <v>45716</v>
      </c>
      <c r="O76" s="644"/>
      <c r="P76" s="195">
        <v>12814.28</v>
      </c>
      <c r="Q76" s="196">
        <v>45730</v>
      </c>
      <c r="R76" s="197"/>
      <c r="S76" s="195"/>
      <c r="T76" s="195"/>
      <c r="U76" s="645"/>
      <c r="V76" s="647"/>
      <c r="W76" s="649"/>
      <c r="X76" s="2">
        <v>26</v>
      </c>
    </row>
    <row r="77" spans="1:24" s="2" customFormat="1" x14ac:dyDescent="0.3">
      <c r="A77" s="643"/>
      <c r="B77" s="578"/>
      <c r="C77" s="578"/>
      <c r="D77" s="578"/>
      <c r="E77" s="578"/>
      <c r="F77" s="644"/>
      <c r="G77" s="651"/>
      <c r="H77" s="645"/>
      <c r="I77" s="653"/>
      <c r="J77" s="655"/>
      <c r="K77" s="658"/>
      <c r="L77" s="578"/>
      <c r="M77" s="578"/>
      <c r="N77" s="202">
        <v>45747</v>
      </c>
      <c r="O77" s="644"/>
      <c r="P77" s="195">
        <v>6228</v>
      </c>
      <c r="Q77" s="196">
        <v>45761</v>
      </c>
      <c r="R77" s="197"/>
      <c r="S77" s="195"/>
      <c r="T77" s="195"/>
      <c r="U77" s="645"/>
      <c r="V77" s="647"/>
      <c r="W77" s="649"/>
      <c r="X77" s="2">
        <v>26</v>
      </c>
    </row>
    <row r="78" spans="1:24" s="2" customFormat="1" x14ac:dyDescent="0.3">
      <c r="A78" s="643"/>
      <c r="B78" s="578"/>
      <c r="C78" s="578"/>
      <c r="D78" s="578"/>
      <c r="E78" s="578"/>
      <c r="F78" s="644"/>
      <c r="G78" s="651"/>
      <c r="H78" s="645"/>
      <c r="I78" s="653"/>
      <c r="J78" s="655"/>
      <c r="K78" s="658"/>
      <c r="L78" s="578"/>
      <c r="M78" s="578"/>
      <c r="N78" s="202">
        <v>45747</v>
      </c>
      <c r="O78" s="644"/>
      <c r="P78" s="195">
        <v>2100</v>
      </c>
      <c r="Q78" s="196">
        <v>45761</v>
      </c>
      <c r="R78" s="197"/>
      <c r="S78" s="195"/>
      <c r="T78" s="195"/>
      <c r="U78" s="645"/>
      <c r="V78" s="647"/>
      <c r="W78" s="649"/>
      <c r="X78" s="2">
        <v>26</v>
      </c>
    </row>
    <row r="79" spans="1:24" s="2" customFormat="1" x14ac:dyDescent="0.3">
      <c r="A79" s="643"/>
      <c r="B79" s="578"/>
      <c r="C79" s="578"/>
      <c r="D79" s="578"/>
      <c r="E79" s="578"/>
      <c r="F79" s="644"/>
      <c r="G79" s="651"/>
      <c r="H79" s="645"/>
      <c r="I79" s="653"/>
      <c r="J79" s="655"/>
      <c r="K79" s="658"/>
      <c r="L79" s="578"/>
      <c r="M79" s="578"/>
      <c r="N79" s="202">
        <v>45747</v>
      </c>
      <c r="O79" s="644"/>
      <c r="P79" s="195">
        <v>14461.85</v>
      </c>
      <c r="Q79" s="196">
        <v>45761</v>
      </c>
      <c r="R79" s="197"/>
      <c r="S79" s="195"/>
      <c r="T79" s="195"/>
      <c r="U79" s="645"/>
      <c r="V79" s="647"/>
      <c r="W79" s="649"/>
      <c r="X79" s="2">
        <v>26</v>
      </c>
    </row>
    <row r="80" spans="1:24" s="2" customFormat="1" x14ac:dyDescent="0.3">
      <c r="A80" s="643"/>
      <c r="B80" s="578"/>
      <c r="C80" s="578"/>
      <c r="D80" s="578"/>
      <c r="E80" s="578"/>
      <c r="F80" s="644"/>
      <c r="G80" s="651"/>
      <c r="H80" s="645"/>
      <c r="I80" s="653"/>
      <c r="J80" s="655"/>
      <c r="K80" s="658"/>
      <c r="L80" s="578"/>
      <c r="M80" s="578"/>
      <c r="N80" s="202">
        <v>45747</v>
      </c>
      <c r="O80" s="644"/>
      <c r="P80" s="195">
        <v>11832.55</v>
      </c>
      <c r="Q80" s="196">
        <v>45761</v>
      </c>
      <c r="R80" s="197"/>
      <c r="S80" s="195"/>
      <c r="T80" s="195"/>
      <c r="U80" s="645"/>
      <c r="V80" s="647"/>
      <c r="W80" s="649"/>
      <c r="X80" s="2">
        <v>26</v>
      </c>
    </row>
    <row r="81" spans="1:24" s="2" customFormat="1" x14ac:dyDescent="0.3">
      <c r="A81" s="513"/>
      <c r="B81" s="506"/>
      <c r="C81" s="506"/>
      <c r="D81" s="506"/>
      <c r="E81" s="506"/>
      <c r="F81" s="515"/>
      <c r="G81" s="652"/>
      <c r="H81" s="517"/>
      <c r="I81" s="533"/>
      <c r="J81" s="656"/>
      <c r="K81" s="659"/>
      <c r="L81" s="506"/>
      <c r="M81" s="506"/>
      <c r="N81" s="202">
        <v>45747</v>
      </c>
      <c r="O81" s="515"/>
      <c r="P81" s="198">
        <v>8855</v>
      </c>
      <c r="Q81" s="196">
        <v>45761</v>
      </c>
      <c r="R81" s="200"/>
      <c r="S81" s="198"/>
      <c r="T81" s="198"/>
      <c r="U81" s="517"/>
      <c r="V81" s="648"/>
      <c r="W81" s="537"/>
      <c r="X81" s="2">
        <v>26</v>
      </c>
    </row>
    <row r="82" spans="1:24" s="106" customFormat="1" ht="90" customHeight="1" x14ac:dyDescent="0.3">
      <c r="A82" s="512">
        <v>10</v>
      </c>
      <c r="B82" s="505" t="s">
        <v>56</v>
      </c>
      <c r="C82" s="505" t="s">
        <v>146</v>
      </c>
      <c r="D82" s="505" t="s">
        <v>147</v>
      </c>
      <c r="E82" s="505" t="s">
        <v>113</v>
      </c>
      <c r="F82" s="514">
        <v>45654</v>
      </c>
      <c r="G82" s="650" t="s">
        <v>198</v>
      </c>
      <c r="H82" s="516">
        <v>488488</v>
      </c>
      <c r="I82" s="532">
        <f>IF(X82 = 27, H82 + SUM(S82:S84) - SUM(T82:T84) - SUM(P82:P84) - V82,0)</f>
        <v>106876</v>
      </c>
      <c r="J82" s="654">
        <v>2353020735</v>
      </c>
      <c r="K82" s="657" t="s">
        <v>156</v>
      </c>
      <c r="L82" s="505" t="s">
        <v>146</v>
      </c>
      <c r="M82" s="505"/>
      <c r="N82" s="201">
        <v>45688</v>
      </c>
      <c r="O82" s="514" t="s">
        <v>164</v>
      </c>
      <c r="P82" s="192">
        <v>123508</v>
      </c>
      <c r="Q82" s="193">
        <v>45706</v>
      </c>
      <c r="R82" s="194"/>
      <c r="S82" s="192"/>
      <c r="T82" s="192"/>
      <c r="U82" s="516"/>
      <c r="V82" s="646"/>
      <c r="W82" s="536"/>
      <c r="X82" s="106">
        <v>27</v>
      </c>
    </row>
    <row r="83" spans="1:24" s="2" customFormat="1" x14ac:dyDescent="0.3">
      <c r="A83" s="643"/>
      <c r="B83" s="578"/>
      <c r="C83" s="578"/>
      <c r="D83" s="578"/>
      <c r="E83" s="578"/>
      <c r="F83" s="644"/>
      <c r="G83" s="651"/>
      <c r="H83" s="645"/>
      <c r="I83" s="653"/>
      <c r="J83" s="655"/>
      <c r="K83" s="658"/>
      <c r="L83" s="578"/>
      <c r="M83" s="578"/>
      <c r="N83" s="202">
        <v>45716</v>
      </c>
      <c r="O83" s="644"/>
      <c r="P83" s="195">
        <v>135212</v>
      </c>
      <c r="Q83" s="196">
        <v>45730</v>
      </c>
      <c r="R83" s="197"/>
      <c r="S83" s="195"/>
      <c r="T83" s="195"/>
      <c r="U83" s="645"/>
      <c r="V83" s="647"/>
      <c r="W83" s="649"/>
      <c r="X83" s="2">
        <v>27</v>
      </c>
    </row>
    <row r="84" spans="1:24" s="2" customFormat="1" x14ac:dyDescent="0.3">
      <c r="A84" s="513"/>
      <c r="B84" s="506"/>
      <c r="C84" s="506"/>
      <c r="D84" s="506"/>
      <c r="E84" s="506"/>
      <c r="F84" s="515"/>
      <c r="G84" s="652"/>
      <c r="H84" s="517"/>
      <c r="I84" s="533"/>
      <c r="J84" s="656"/>
      <c r="K84" s="659"/>
      <c r="L84" s="506"/>
      <c r="M84" s="506"/>
      <c r="N84" s="203">
        <v>45747</v>
      </c>
      <c r="O84" s="515"/>
      <c r="P84" s="198">
        <v>122892</v>
      </c>
      <c r="Q84" s="199">
        <v>45761</v>
      </c>
      <c r="R84" s="200"/>
      <c r="S84" s="198"/>
      <c r="T84" s="198"/>
      <c r="U84" s="517"/>
      <c r="V84" s="648"/>
      <c r="W84" s="537"/>
      <c r="X84" s="2">
        <v>27</v>
      </c>
    </row>
    <row r="85" spans="1:24" s="106" customFormat="1" ht="162" customHeight="1" x14ac:dyDescent="0.3">
      <c r="A85" s="451">
        <v>11</v>
      </c>
      <c r="B85" s="448" t="s">
        <v>56</v>
      </c>
      <c r="C85" s="448" t="s">
        <v>146</v>
      </c>
      <c r="D85" s="448" t="s">
        <v>147</v>
      </c>
      <c r="E85" s="448" t="s">
        <v>202</v>
      </c>
      <c r="F85" s="454">
        <v>45677</v>
      </c>
      <c r="G85" s="543" t="s">
        <v>190</v>
      </c>
      <c r="H85" s="457">
        <v>246840</v>
      </c>
      <c r="I85" s="469">
        <f>IF(X85 = 28, H85 + SUM(S85:S105) - SUM(T85:T105) - SUM(P85:P105) - V85,0)</f>
        <v>142810</v>
      </c>
      <c r="J85" s="546">
        <v>235305769122</v>
      </c>
      <c r="K85" s="549" t="s">
        <v>159</v>
      </c>
      <c r="L85" s="448" t="s">
        <v>146</v>
      </c>
      <c r="M85" s="448"/>
      <c r="N85" s="382">
        <v>45688</v>
      </c>
      <c r="O85" s="454" t="s">
        <v>183</v>
      </c>
      <c r="P85" s="373">
        <v>8680</v>
      </c>
      <c r="Q85" s="374">
        <v>45702</v>
      </c>
      <c r="R85" s="375"/>
      <c r="S85" s="373"/>
      <c r="T85" s="373"/>
      <c r="U85" s="457"/>
      <c r="V85" s="540"/>
      <c r="W85" s="463"/>
      <c r="X85" s="106">
        <v>28</v>
      </c>
    </row>
    <row r="86" spans="1:24" s="2" customFormat="1" x14ac:dyDescent="0.3">
      <c r="A86" s="452"/>
      <c r="B86" s="449"/>
      <c r="C86" s="449"/>
      <c r="D86" s="449"/>
      <c r="E86" s="449"/>
      <c r="F86" s="455"/>
      <c r="G86" s="544"/>
      <c r="H86" s="458"/>
      <c r="I86" s="470"/>
      <c r="J86" s="547"/>
      <c r="K86" s="550"/>
      <c r="L86" s="449"/>
      <c r="M86" s="449"/>
      <c r="N86" s="383">
        <v>45688</v>
      </c>
      <c r="O86" s="455"/>
      <c r="P86" s="376">
        <v>2890</v>
      </c>
      <c r="Q86" s="377">
        <v>45702</v>
      </c>
      <c r="R86" s="378"/>
      <c r="S86" s="376"/>
      <c r="T86" s="376"/>
      <c r="U86" s="458"/>
      <c r="V86" s="541"/>
      <c r="W86" s="464"/>
      <c r="X86" s="2">
        <v>28</v>
      </c>
    </row>
    <row r="87" spans="1:24" s="2" customFormat="1" x14ac:dyDescent="0.3">
      <c r="A87" s="452"/>
      <c r="B87" s="449"/>
      <c r="C87" s="449"/>
      <c r="D87" s="449"/>
      <c r="E87" s="449"/>
      <c r="F87" s="455"/>
      <c r="G87" s="544"/>
      <c r="H87" s="458"/>
      <c r="I87" s="470"/>
      <c r="J87" s="547"/>
      <c r="K87" s="550"/>
      <c r="L87" s="449"/>
      <c r="M87" s="449"/>
      <c r="N87" s="383">
        <v>45688</v>
      </c>
      <c r="O87" s="455"/>
      <c r="P87" s="376">
        <v>2550</v>
      </c>
      <c r="Q87" s="377">
        <v>45702</v>
      </c>
      <c r="R87" s="378"/>
      <c r="S87" s="376"/>
      <c r="T87" s="376"/>
      <c r="U87" s="458"/>
      <c r="V87" s="541"/>
      <c r="W87" s="464"/>
      <c r="X87" s="2">
        <v>28</v>
      </c>
    </row>
    <row r="88" spans="1:24" s="2" customFormat="1" x14ac:dyDescent="0.3">
      <c r="A88" s="452"/>
      <c r="B88" s="449"/>
      <c r="C88" s="449"/>
      <c r="D88" s="449"/>
      <c r="E88" s="449"/>
      <c r="F88" s="455"/>
      <c r="G88" s="544"/>
      <c r="H88" s="458"/>
      <c r="I88" s="470"/>
      <c r="J88" s="547"/>
      <c r="K88" s="550"/>
      <c r="L88" s="449"/>
      <c r="M88" s="449"/>
      <c r="N88" s="383">
        <v>45716</v>
      </c>
      <c r="O88" s="455"/>
      <c r="P88" s="376">
        <v>3000</v>
      </c>
      <c r="Q88" s="377">
        <v>45727</v>
      </c>
      <c r="R88" s="378"/>
      <c r="S88" s="376"/>
      <c r="T88" s="376"/>
      <c r="U88" s="458"/>
      <c r="V88" s="541"/>
      <c r="W88" s="464"/>
      <c r="X88" s="2">
        <v>28</v>
      </c>
    </row>
    <row r="89" spans="1:24" s="2" customFormat="1" x14ac:dyDescent="0.3">
      <c r="A89" s="452"/>
      <c r="B89" s="449"/>
      <c r="C89" s="449"/>
      <c r="D89" s="449"/>
      <c r="E89" s="449"/>
      <c r="F89" s="455"/>
      <c r="G89" s="544"/>
      <c r="H89" s="458"/>
      <c r="I89" s="470"/>
      <c r="J89" s="547"/>
      <c r="K89" s="550"/>
      <c r="L89" s="449"/>
      <c r="M89" s="449"/>
      <c r="N89" s="383">
        <v>45716</v>
      </c>
      <c r="O89" s="455"/>
      <c r="P89" s="376">
        <v>7840</v>
      </c>
      <c r="Q89" s="377">
        <v>45727</v>
      </c>
      <c r="R89" s="378"/>
      <c r="S89" s="376"/>
      <c r="T89" s="376"/>
      <c r="U89" s="458"/>
      <c r="V89" s="541"/>
      <c r="W89" s="464"/>
      <c r="X89" s="2">
        <v>28</v>
      </c>
    </row>
    <row r="90" spans="1:24" s="2" customFormat="1" x14ac:dyDescent="0.3">
      <c r="A90" s="452"/>
      <c r="B90" s="449"/>
      <c r="C90" s="449"/>
      <c r="D90" s="449"/>
      <c r="E90" s="449"/>
      <c r="F90" s="455"/>
      <c r="G90" s="544"/>
      <c r="H90" s="458"/>
      <c r="I90" s="470"/>
      <c r="J90" s="547"/>
      <c r="K90" s="550"/>
      <c r="L90" s="449"/>
      <c r="M90" s="449"/>
      <c r="N90" s="383">
        <v>45716</v>
      </c>
      <c r="O90" s="455"/>
      <c r="P90" s="376">
        <v>3400</v>
      </c>
      <c r="Q90" s="377">
        <v>45727</v>
      </c>
      <c r="R90" s="378"/>
      <c r="S90" s="376"/>
      <c r="T90" s="376"/>
      <c r="U90" s="458"/>
      <c r="V90" s="541"/>
      <c r="W90" s="464"/>
      <c r="X90" s="2">
        <v>28</v>
      </c>
    </row>
    <row r="91" spans="1:24" s="2" customFormat="1" x14ac:dyDescent="0.3">
      <c r="A91" s="452"/>
      <c r="B91" s="449"/>
      <c r="C91" s="449"/>
      <c r="D91" s="449"/>
      <c r="E91" s="449"/>
      <c r="F91" s="455"/>
      <c r="G91" s="544"/>
      <c r="H91" s="458"/>
      <c r="I91" s="470"/>
      <c r="J91" s="547"/>
      <c r="K91" s="550"/>
      <c r="L91" s="449"/>
      <c r="M91" s="449"/>
      <c r="N91" s="383">
        <v>45747</v>
      </c>
      <c r="O91" s="455"/>
      <c r="P91" s="376">
        <v>2400</v>
      </c>
      <c r="Q91" s="377">
        <v>45755</v>
      </c>
      <c r="R91" s="378"/>
      <c r="S91" s="376"/>
      <c r="T91" s="376"/>
      <c r="U91" s="458"/>
      <c r="V91" s="541"/>
      <c r="W91" s="464"/>
      <c r="X91" s="2">
        <v>28</v>
      </c>
    </row>
    <row r="92" spans="1:24" s="2" customFormat="1" x14ac:dyDescent="0.3">
      <c r="A92" s="452"/>
      <c r="B92" s="449"/>
      <c r="C92" s="449"/>
      <c r="D92" s="449"/>
      <c r="E92" s="449"/>
      <c r="F92" s="455"/>
      <c r="G92" s="544"/>
      <c r="H92" s="458"/>
      <c r="I92" s="470"/>
      <c r="J92" s="547"/>
      <c r="K92" s="550"/>
      <c r="L92" s="449"/>
      <c r="M92" s="449"/>
      <c r="N92" s="383">
        <v>45747</v>
      </c>
      <c r="O92" s="455"/>
      <c r="P92" s="376">
        <v>2720</v>
      </c>
      <c r="Q92" s="377">
        <v>45755</v>
      </c>
      <c r="R92" s="378"/>
      <c r="S92" s="376"/>
      <c r="T92" s="376"/>
      <c r="U92" s="458"/>
      <c r="V92" s="541"/>
      <c r="W92" s="464"/>
      <c r="X92" s="2">
        <v>28</v>
      </c>
    </row>
    <row r="93" spans="1:24" s="2" customFormat="1" x14ac:dyDescent="0.3">
      <c r="A93" s="452"/>
      <c r="B93" s="449"/>
      <c r="C93" s="449"/>
      <c r="D93" s="449"/>
      <c r="E93" s="449"/>
      <c r="F93" s="455"/>
      <c r="G93" s="544"/>
      <c r="H93" s="458"/>
      <c r="I93" s="470"/>
      <c r="J93" s="547"/>
      <c r="K93" s="550"/>
      <c r="L93" s="449"/>
      <c r="M93" s="449"/>
      <c r="N93" s="383">
        <v>45747</v>
      </c>
      <c r="O93" s="455"/>
      <c r="P93" s="376">
        <v>8540</v>
      </c>
      <c r="Q93" s="377">
        <v>45755</v>
      </c>
      <c r="R93" s="378"/>
      <c r="S93" s="376"/>
      <c r="T93" s="376"/>
      <c r="U93" s="458"/>
      <c r="V93" s="541"/>
      <c r="W93" s="464"/>
      <c r="X93" s="2">
        <v>28</v>
      </c>
    </row>
    <row r="94" spans="1:24" s="2" customFormat="1" x14ac:dyDescent="0.3">
      <c r="A94" s="452"/>
      <c r="B94" s="449"/>
      <c r="C94" s="449"/>
      <c r="D94" s="449"/>
      <c r="E94" s="449"/>
      <c r="F94" s="455"/>
      <c r="G94" s="544"/>
      <c r="H94" s="458"/>
      <c r="I94" s="470"/>
      <c r="J94" s="547"/>
      <c r="K94" s="550"/>
      <c r="L94" s="449"/>
      <c r="M94" s="449"/>
      <c r="N94" s="383">
        <v>45777</v>
      </c>
      <c r="O94" s="455"/>
      <c r="P94" s="376">
        <v>3150</v>
      </c>
      <c r="Q94" s="377">
        <v>45789</v>
      </c>
      <c r="R94" s="378"/>
      <c r="S94" s="376"/>
      <c r="T94" s="376"/>
      <c r="U94" s="458"/>
      <c r="V94" s="541"/>
      <c r="W94" s="464"/>
      <c r="X94" s="2">
        <v>28</v>
      </c>
    </row>
    <row r="95" spans="1:24" s="2" customFormat="1" x14ac:dyDescent="0.3">
      <c r="A95" s="452"/>
      <c r="B95" s="449"/>
      <c r="C95" s="449"/>
      <c r="D95" s="449"/>
      <c r="E95" s="449"/>
      <c r="F95" s="455"/>
      <c r="G95" s="544"/>
      <c r="H95" s="458"/>
      <c r="I95" s="470"/>
      <c r="J95" s="547"/>
      <c r="K95" s="550"/>
      <c r="L95" s="449"/>
      <c r="M95" s="449"/>
      <c r="N95" s="383">
        <v>45777</v>
      </c>
      <c r="O95" s="455"/>
      <c r="P95" s="376">
        <v>3570</v>
      </c>
      <c r="Q95" s="377">
        <v>45789</v>
      </c>
      <c r="R95" s="378"/>
      <c r="S95" s="376"/>
      <c r="T95" s="376"/>
      <c r="U95" s="458"/>
      <c r="V95" s="541"/>
      <c r="W95" s="464"/>
      <c r="X95" s="2">
        <v>28</v>
      </c>
    </row>
    <row r="96" spans="1:24" s="2" customFormat="1" x14ac:dyDescent="0.3">
      <c r="A96" s="452"/>
      <c r="B96" s="449"/>
      <c r="C96" s="449"/>
      <c r="D96" s="449"/>
      <c r="E96" s="449"/>
      <c r="F96" s="455"/>
      <c r="G96" s="544"/>
      <c r="H96" s="458"/>
      <c r="I96" s="470"/>
      <c r="J96" s="547"/>
      <c r="K96" s="550"/>
      <c r="L96" s="449"/>
      <c r="M96" s="449"/>
      <c r="N96" s="383">
        <v>45777</v>
      </c>
      <c r="O96" s="455"/>
      <c r="P96" s="376">
        <v>8400</v>
      </c>
      <c r="Q96" s="377">
        <v>45789</v>
      </c>
      <c r="R96" s="378"/>
      <c r="S96" s="376"/>
      <c r="T96" s="376"/>
      <c r="U96" s="458"/>
      <c r="V96" s="541"/>
      <c r="W96" s="464"/>
      <c r="X96" s="2">
        <v>28</v>
      </c>
    </row>
    <row r="97" spans="1:24" s="2" customFormat="1" x14ac:dyDescent="0.3">
      <c r="A97" s="452"/>
      <c r="B97" s="449"/>
      <c r="C97" s="449"/>
      <c r="D97" s="449"/>
      <c r="E97" s="449"/>
      <c r="F97" s="455"/>
      <c r="G97" s="544"/>
      <c r="H97" s="458"/>
      <c r="I97" s="470"/>
      <c r="J97" s="547"/>
      <c r="K97" s="550"/>
      <c r="L97" s="449"/>
      <c r="M97" s="449"/>
      <c r="N97" s="383">
        <v>45808</v>
      </c>
      <c r="O97" s="455"/>
      <c r="P97" s="376">
        <v>5270</v>
      </c>
      <c r="Q97" s="377">
        <v>45832</v>
      </c>
      <c r="R97" s="378"/>
      <c r="S97" s="376"/>
      <c r="T97" s="376"/>
      <c r="U97" s="458"/>
      <c r="V97" s="541"/>
      <c r="W97" s="464"/>
      <c r="X97" s="2">
        <v>28</v>
      </c>
    </row>
    <row r="98" spans="1:24" s="2" customFormat="1" x14ac:dyDescent="0.3">
      <c r="A98" s="452"/>
      <c r="B98" s="449"/>
      <c r="C98" s="449"/>
      <c r="D98" s="449"/>
      <c r="E98" s="449"/>
      <c r="F98" s="455"/>
      <c r="G98" s="544"/>
      <c r="H98" s="458"/>
      <c r="I98" s="470"/>
      <c r="J98" s="547"/>
      <c r="K98" s="550"/>
      <c r="L98" s="449"/>
      <c r="M98" s="449"/>
      <c r="N98" s="383">
        <v>45808</v>
      </c>
      <c r="O98" s="455"/>
      <c r="P98" s="376">
        <v>4800</v>
      </c>
      <c r="Q98" s="377">
        <v>45832</v>
      </c>
      <c r="R98" s="378"/>
      <c r="S98" s="376"/>
      <c r="T98" s="376"/>
      <c r="U98" s="458"/>
      <c r="V98" s="541"/>
      <c r="W98" s="464"/>
      <c r="X98" s="2">
        <v>28</v>
      </c>
    </row>
    <row r="99" spans="1:24" s="2" customFormat="1" x14ac:dyDescent="0.3">
      <c r="A99" s="452"/>
      <c r="B99" s="449"/>
      <c r="C99" s="449"/>
      <c r="D99" s="449"/>
      <c r="E99" s="449"/>
      <c r="F99" s="455"/>
      <c r="G99" s="544"/>
      <c r="H99" s="458"/>
      <c r="I99" s="470"/>
      <c r="J99" s="547"/>
      <c r="K99" s="550"/>
      <c r="L99" s="449"/>
      <c r="M99" s="449"/>
      <c r="N99" s="383">
        <v>45808</v>
      </c>
      <c r="O99" s="455"/>
      <c r="P99" s="376">
        <v>8540</v>
      </c>
      <c r="Q99" s="377">
        <v>45832</v>
      </c>
      <c r="R99" s="378"/>
      <c r="S99" s="376"/>
      <c r="T99" s="376"/>
      <c r="U99" s="458"/>
      <c r="V99" s="541"/>
      <c r="W99" s="464"/>
      <c r="X99" s="2">
        <v>28</v>
      </c>
    </row>
    <row r="100" spans="1:24" s="2" customFormat="1" x14ac:dyDescent="0.3">
      <c r="A100" s="452"/>
      <c r="B100" s="449"/>
      <c r="C100" s="449"/>
      <c r="D100" s="449"/>
      <c r="E100" s="449"/>
      <c r="F100" s="455"/>
      <c r="G100" s="544"/>
      <c r="H100" s="458"/>
      <c r="I100" s="470"/>
      <c r="J100" s="547"/>
      <c r="K100" s="550"/>
      <c r="L100" s="449"/>
      <c r="M100" s="449"/>
      <c r="N100" s="383">
        <v>45838</v>
      </c>
      <c r="O100" s="455"/>
      <c r="P100" s="376">
        <v>3900</v>
      </c>
      <c r="Q100" s="377">
        <v>45846</v>
      </c>
      <c r="R100" s="378"/>
      <c r="S100" s="376"/>
      <c r="T100" s="376"/>
      <c r="U100" s="458"/>
      <c r="V100" s="541"/>
      <c r="W100" s="464"/>
      <c r="X100" s="2">
        <v>28</v>
      </c>
    </row>
    <row r="101" spans="1:24" s="2" customFormat="1" x14ac:dyDescent="0.3">
      <c r="A101" s="452"/>
      <c r="B101" s="449"/>
      <c r="C101" s="449"/>
      <c r="D101" s="449"/>
      <c r="E101" s="449"/>
      <c r="F101" s="455"/>
      <c r="G101" s="544"/>
      <c r="H101" s="458"/>
      <c r="I101" s="470"/>
      <c r="J101" s="547"/>
      <c r="K101" s="550"/>
      <c r="L101" s="449"/>
      <c r="M101" s="449"/>
      <c r="N101" s="383">
        <v>45838</v>
      </c>
      <c r="O101" s="455"/>
      <c r="P101" s="376">
        <v>4420</v>
      </c>
      <c r="Q101" s="377">
        <v>45846</v>
      </c>
      <c r="R101" s="378"/>
      <c r="S101" s="376"/>
      <c r="T101" s="376"/>
      <c r="U101" s="458"/>
      <c r="V101" s="541"/>
      <c r="W101" s="464"/>
      <c r="X101" s="2">
        <v>28</v>
      </c>
    </row>
    <row r="102" spans="1:24" s="2" customFormat="1" x14ac:dyDescent="0.3">
      <c r="A102" s="452"/>
      <c r="B102" s="449"/>
      <c r="C102" s="449"/>
      <c r="D102" s="449"/>
      <c r="E102" s="449"/>
      <c r="F102" s="455"/>
      <c r="G102" s="544"/>
      <c r="H102" s="458"/>
      <c r="I102" s="470"/>
      <c r="J102" s="547"/>
      <c r="K102" s="550"/>
      <c r="L102" s="449"/>
      <c r="M102" s="449"/>
      <c r="N102" s="383">
        <v>45838</v>
      </c>
      <c r="O102" s="455"/>
      <c r="P102" s="376">
        <v>8400</v>
      </c>
      <c r="Q102" s="377">
        <v>45846</v>
      </c>
      <c r="R102" s="378"/>
      <c r="S102" s="376"/>
      <c r="T102" s="376"/>
      <c r="U102" s="458"/>
      <c r="V102" s="541"/>
      <c r="W102" s="464"/>
      <c r="X102" s="2">
        <v>28</v>
      </c>
    </row>
    <row r="103" spans="1:24" s="2" customFormat="1" x14ac:dyDescent="0.3">
      <c r="A103" s="452"/>
      <c r="B103" s="449"/>
      <c r="C103" s="449"/>
      <c r="D103" s="449"/>
      <c r="E103" s="449"/>
      <c r="F103" s="455"/>
      <c r="G103" s="544"/>
      <c r="H103" s="458"/>
      <c r="I103" s="470"/>
      <c r="J103" s="547"/>
      <c r="K103" s="550"/>
      <c r="L103" s="449"/>
      <c r="M103" s="449"/>
      <c r="N103" s="383">
        <v>45869</v>
      </c>
      <c r="O103" s="455"/>
      <c r="P103" s="376">
        <v>1350</v>
      </c>
      <c r="Q103" s="377">
        <v>45882</v>
      </c>
      <c r="R103" s="378"/>
      <c r="S103" s="376"/>
      <c r="T103" s="376"/>
      <c r="U103" s="458"/>
      <c r="V103" s="541"/>
      <c r="W103" s="464"/>
      <c r="X103" s="2">
        <v>28</v>
      </c>
    </row>
    <row r="104" spans="1:24" s="2" customFormat="1" x14ac:dyDescent="0.3">
      <c r="A104" s="452"/>
      <c r="B104" s="449"/>
      <c r="C104" s="449"/>
      <c r="D104" s="449"/>
      <c r="E104" s="449"/>
      <c r="F104" s="455"/>
      <c r="G104" s="544"/>
      <c r="H104" s="458"/>
      <c r="I104" s="470"/>
      <c r="J104" s="547"/>
      <c r="K104" s="550"/>
      <c r="L104" s="449"/>
      <c r="M104" s="449"/>
      <c r="N104" s="383">
        <v>45869</v>
      </c>
      <c r="O104" s="455"/>
      <c r="P104" s="376">
        <v>8680</v>
      </c>
      <c r="Q104" s="377">
        <v>45882</v>
      </c>
      <c r="R104" s="378"/>
      <c r="S104" s="376"/>
      <c r="T104" s="376"/>
      <c r="U104" s="458"/>
      <c r="V104" s="541"/>
      <c r="W104" s="464"/>
      <c r="X104" s="2">
        <v>28</v>
      </c>
    </row>
    <row r="105" spans="1:24" s="2" customFormat="1" x14ac:dyDescent="0.3">
      <c r="A105" s="453"/>
      <c r="B105" s="450"/>
      <c r="C105" s="450"/>
      <c r="D105" s="450"/>
      <c r="E105" s="450"/>
      <c r="F105" s="456"/>
      <c r="G105" s="545"/>
      <c r="H105" s="459"/>
      <c r="I105" s="471"/>
      <c r="J105" s="548"/>
      <c r="K105" s="551"/>
      <c r="L105" s="450"/>
      <c r="M105" s="450"/>
      <c r="N105" s="383">
        <v>45869</v>
      </c>
      <c r="O105" s="456"/>
      <c r="P105" s="379">
        <v>1530</v>
      </c>
      <c r="Q105" s="380">
        <v>45882</v>
      </c>
      <c r="R105" s="381"/>
      <c r="S105" s="379"/>
      <c r="T105" s="379"/>
      <c r="U105" s="459"/>
      <c r="V105" s="542"/>
      <c r="W105" s="465"/>
      <c r="X105" s="2">
        <v>28</v>
      </c>
    </row>
    <row r="106" spans="1:24" s="106" customFormat="1" ht="131.25" customHeight="1" x14ac:dyDescent="0.3">
      <c r="A106" s="451">
        <v>12</v>
      </c>
      <c r="B106" s="448" t="s">
        <v>56</v>
      </c>
      <c r="C106" s="448" t="s">
        <v>146</v>
      </c>
      <c r="D106" s="448" t="s">
        <v>147</v>
      </c>
      <c r="E106" s="448" t="s">
        <v>203</v>
      </c>
      <c r="F106" s="454">
        <v>45654</v>
      </c>
      <c r="G106" s="543" t="s">
        <v>173</v>
      </c>
      <c r="H106" s="457">
        <v>27331.200000000001</v>
      </c>
      <c r="I106" s="469">
        <f>IF(X106 = 29, H106 + SUM(S106:S112) - SUM(T106:T112) - SUM(P106:P112) - V106,0)</f>
        <v>11388</v>
      </c>
      <c r="J106" s="546">
        <v>2310163739</v>
      </c>
      <c r="K106" s="549" t="s">
        <v>174</v>
      </c>
      <c r="L106" s="448" t="s">
        <v>146</v>
      </c>
      <c r="M106" s="448"/>
      <c r="N106" s="382">
        <v>45688</v>
      </c>
      <c r="O106" s="454" t="s">
        <v>183</v>
      </c>
      <c r="P106" s="373">
        <v>2277.6</v>
      </c>
      <c r="Q106" s="374">
        <v>45716</v>
      </c>
      <c r="R106" s="375"/>
      <c r="S106" s="373"/>
      <c r="T106" s="373"/>
      <c r="U106" s="457"/>
      <c r="V106" s="540"/>
      <c r="W106" s="463"/>
      <c r="X106" s="106">
        <v>29</v>
      </c>
    </row>
    <row r="107" spans="1:24" s="2" customFormat="1" x14ac:dyDescent="0.3">
      <c r="A107" s="452"/>
      <c r="B107" s="449"/>
      <c r="C107" s="449"/>
      <c r="D107" s="449"/>
      <c r="E107" s="449"/>
      <c r="F107" s="455"/>
      <c r="G107" s="544"/>
      <c r="H107" s="458"/>
      <c r="I107" s="470"/>
      <c r="J107" s="547"/>
      <c r="K107" s="550"/>
      <c r="L107" s="449"/>
      <c r="M107" s="449"/>
      <c r="N107" s="383">
        <v>45716</v>
      </c>
      <c r="O107" s="455"/>
      <c r="P107" s="376">
        <v>2277.6</v>
      </c>
      <c r="Q107" s="377">
        <v>45716</v>
      </c>
      <c r="R107" s="378"/>
      <c r="S107" s="376"/>
      <c r="T107" s="376"/>
      <c r="U107" s="458"/>
      <c r="V107" s="541"/>
      <c r="W107" s="464"/>
      <c r="X107" s="2">
        <v>29</v>
      </c>
    </row>
    <row r="108" spans="1:24" s="2" customFormat="1" x14ac:dyDescent="0.3">
      <c r="A108" s="452"/>
      <c r="B108" s="449"/>
      <c r="C108" s="449"/>
      <c r="D108" s="449"/>
      <c r="E108" s="449"/>
      <c r="F108" s="455"/>
      <c r="G108" s="544"/>
      <c r="H108" s="458"/>
      <c r="I108" s="470"/>
      <c r="J108" s="547"/>
      <c r="K108" s="550"/>
      <c r="L108" s="449"/>
      <c r="M108" s="449"/>
      <c r="N108" s="383">
        <v>45747</v>
      </c>
      <c r="O108" s="455"/>
      <c r="P108" s="376">
        <v>2277.6</v>
      </c>
      <c r="Q108" s="377">
        <v>45748</v>
      </c>
      <c r="R108" s="378"/>
      <c r="S108" s="376"/>
      <c r="T108" s="376"/>
      <c r="U108" s="458"/>
      <c r="V108" s="541"/>
      <c r="W108" s="464"/>
      <c r="X108" s="2">
        <v>29</v>
      </c>
    </row>
    <row r="109" spans="1:24" s="2" customFormat="1" x14ac:dyDescent="0.3">
      <c r="A109" s="452"/>
      <c r="B109" s="449"/>
      <c r="C109" s="449"/>
      <c r="D109" s="449"/>
      <c r="E109" s="449"/>
      <c r="F109" s="455"/>
      <c r="G109" s="544"/>
      <c r="H109" s="458"/>
      <c r="I109" s="470"/>
      <c r="J109" s="547"/>
      <c r="K109" s="550"/>
      <c r="L109" s="449"/>
      <c r="M109" s="449"/>
      <c r="N109" s="383">
        <v>45777</v>
      </c>
      <c r="O109" s="455"/>
      <c r="P109" s="376">
        <v>2277.6</v>
      </c>
      <c r="Q109" s="377">
        <v>45777</v>
      </c>
      <c r="R109" s="378"/>
      <c r="S109" s="376"/>
      <c r="T109" s="376"/>
      <c r="U109" s="458"/>
      <c r="V109" s="541"/>
      <c r="W109" s="464"/>
      <c r="X109" s="2">
        <v>29</v>
      </c>
    </row>
    <row r="110" spans="1:24" s="2" customFormat="1" x14ac:dyDescent="0.3">
      <c r="A110" s="452"/>
      <c r="B110" s="449"/>
      <c r="C110" s="449"/>
      <c r="D110" s="449"/>
      <c r="E110" s="449"/>
      <c r="F110" s="455"/>
      <c r="G110" s="544"/>
      <c r="H110" s="458"/>
      <c r="I110" s="470"/>
      <c r="J110" s="547"/>
      <c r="K110" s="550"/>
      <c r="L110" s="449"/>
      <c r="M110" s="449"/>
      <c r="N110" s="383">
        <v>45808</v>
      </c>
      <c r="O110" s="455"/>
      <c r="P110" s="376">
        <v>2277.6</v>
      </c>
      <c r="Q110" s="377">
        <v>45818</v>
      </c>
      <c r="R110" s="378"/>
      <c r="S110" s="376"/>
      <c r="T110" s="376"/>
      <c r="U110" s="458"/>
      <c r="V110" s="541"/>
      <c r="W110" s="464"/>
      <c r="X110" s="2">
        <v>29</v>
      </c>
    </row>
    <row r="111" spans="1:24" s="2" customFormat="1" x14ac:dyDescent="0.3">
      <c r="A111" s="452"/>
      <c r="B111" s="449"/>
      <c r="C111" s="449"/>
      <c r="D111" s="449"/>
      <c r="E111" s="449"/>
      <c r="F111" s="455"/>
      <c r="G111" s="544"/>
      <c r="H111" s="458"/>
      <c r="I111" s="470"/>
      <c r="J111" s="547"/>
      <c r="K111" s="550"/>
      <c r="L111" s="449"/>
      <c r="M111" s="449"/>
      <c r="N111" s="383">
        <v>45838</v>
      </c>
      <c r="O111" s="455"/>
      <c r="P111" s="376">
        <v>2277.6</v>
      </c>
      <c r="Q111" s="377">
        <v>45838</v>
      </c>
      <c r="R111" s="378"/>
      <c r="S111" s="376"/>
      <c r="T111" s="376"/>
      <c r="U111" s="458"/>
      <c r="V111" s="541"/>
      <c r="W111" s="464"/>
      <c r="X111" s="2">
        <v>29</v>
      </c>
    </row>
    <row r="112" spans="1:24" s="2" customFormat="1" x14ac:dyDescent="0.3">
      <c r="A112" s="453"/>
      <c r="B112" s="450"/>
      <c r="C112" s="450"/>
      <c r="D112" s="450"/>
      <c r="E112" s="450"/>
      <c r="F112" s="456"/>
      <c r="G112" s="545"/>
      <c r="H112" s="459"/>
      <c r="I112" s="471"/>
      <c r="J112" s="548"/>
      <c r="K112" s="551"/>
      <c r="L112" s="450"/>
      <c r="M112" s="450"/>
      <c r="N112" s="384">
        <v>45869</v>
      </c>
      <c r="O112" s="456"/>
      <c r="P112" s="379">
        <v>2277.6</v>
      </c>
      <c r="Q112" s="380">
        <v>45873</v>
      </c>
      <c r="R112" s="381"/>
      <c r="S112" s="379"/>
      <c r="T112" s="379"/>
      <c r="U112" s="459"/>
      <c r="V112" s="542"/>
      <c r="W112" s="465"/>
      <c r="X112" s="2">
        <v>29</v>
      </c>
    </row>
    <row r="113" spans="1:24" s="106" customFormat="1" ht="90" customHeight="1" x14ac:dyDescent="0.3">
      <c r="A113" s="451">
        <v>13</v>
      </c>
      <c r="B113" s="448" t="s">
        <v>56</v>
      </c>
      <c r="C113" s="448" t="s">
        <v>146</v>
      </c>
      <c r="D113" s="448" t="s">
        <v>147</v>
      </c>
      <c r="E113" s="448" t="s">
        <v>113</v>
      </c>
      <c r="F113" s="454">
        <v>45677</v>
      </c>
      <c r="G113" s="543" t="s">
        <v>204</v>
      </c>
      <c r="H113" s="457">
        <v>18000</v>
      </c>
      <c r="I113" s="469">
        <f>IF(X113 = 30, H113 + SUM(S113:S119) - SUM(T113:T119) - SUM(P113:P119) - V113,0)</f>
        <v>7500</v>
      </c>
      <c r="J113" s="546">
        <v>231107998282</v>
      </c>
      <c r="K113" s="549" t="s">
        <v>187</v>
      </c>
      <c r="L113" s="448" t="s">
        <v>146</v>
      </c>
      <c r="M113" s="448"/>
      <c r="N113" s="382">
        <v>45688</v>
      </c>
      <c r="O113" s="454" t="s">
        <v>183</v>
      </c>
      <c r="P113" s="373">
        <v>1500</v>
      </c>
      <c r="Q113" s="374">
        <v>45693</v>
      </c>
      <c r="R113" s="375"/>
      <c r="S113" s="373"/>
      <c r="T113" s="373"/>
      <c r="U113" s="457"/>
      <c r="V113" s="540"/>
      <c r="W113" s="463"/>
      <c r="X113" s="106">
        <v>30</v>
      </c>
    </row>
    <row r="114" spans="1:24" s="2" customFormat="1" x14ac:dyDescent="0.3">
      <c r="A114" s="452"/>
      <c r="B114" s="449"/>
      <c r="C114" s="449"/>
      <c r="D114" s="449"/>
      <c r="E114" s="449"/>
      <c r="F114" s="455"/>
      <c r="G114" s="544"/>
      <c r="H114" s="458"/>
      <c r="I114" s="470"/>
      <c r="J114" s="547"/>
      <c r="K114" s="550"/>
      <c r="L114" s="449"/>
      <c r="M114" s="449"/>
      <c r="N114" s="383">
        <v>45716</v>
      </c>
      <c r="O114" s="455"/>
      <c r="P114" s="376">
        <v>1500</v>
      </c>
      <c r="Q114" s="377">
        <v>45716</v>
      </c>
      <c r="R114" s="378"/>
      <c r="S114" s="376"/>
      <c r="T114" s="376"/>
      <c r="U114" s="458"/>
      <c r="V114" s="541"/>
      <c r="W114" s="464"/>
      <c r="X114" s="2">
        <v>30</v>
      </c>
    </row>
    <row r="115" spans="1:24" s="2" customFormat="1" x14ac:dyDescent="0.3">
      <c r="A115" s="452"/>
      <c r="B115" s="449"/>
      <c r="C115" s="449"/>
      <c r="D115" s="449"/>
      <c r="E115" s="449"/>
      <c r="F115" s="455"/>
      <c r="G115" s="544"/>
      <c r="H115" s="458"/>
      <c r="I115" s="470"/>
      <c r="J115" s="547"/>
      <c r="K115" s="550"/>
      <c r="L115" s="449"/>
      <c r="M115" s="449"/>
      <c r="N115" s="383">
        <v>45747</v>
      </c>
      <c r="O115" s="455"/>
      <c r="P115" s="376">
        <v>1500</v>
      </c>
      <c r="Q115" s="377">
        <v>45748</v>
      </c>
      <c r="R115" s="378"/>
      <c r="S115" s="376"/>
      <c r="T115" s="376"/>
      <c r="U115" s="458"/>
      <c r="V115" s="541"/>
      <c r="W115" s="464"/>
      <c r="X115" s="2">
        <v>30</v>
      </c>
    </row>
    <row r="116" spans="1:24" s="2" customFormat="1" x14ac:dyDescent="0.3">
      <c r="A116" s="452"/>
      <c r="B116" s="449"/>
      <c r="C116" s="449"/>
      <c r="D116" s="449"/>
      <c r="E116" s="449"/>
      <c r="F116" s="455"/>
      <c r="G116" s="544"/>
      <c r="H116" s="458"/>
      <c r="I116" s="470"/>
      <c r="J116" s="547"/>
      <c r="K116" s="550"/>
      <c r="L116" s="449"/>
      <c r="M116" s="449"/>
      <c r="N116" s="383">
        <v>45777</v>
      </c>
      <c r="O116" s="455"/>
      <c r="P116" s="376">
        <v>1500</v>
      </c>
      <c r="Q116" s="377">
        <v>45777</v>
      </c>
      <c r="R116" s="378"/>
      <c r="S116" s="376"/>
      <c r="T116" s="376"/>
      <c r="U116" s="458"/>
      <c r="V116" s="541"/>
      <c r="W116" s="464"/>
      <c r="X116" s="2">
        <v>30</v>
      </c>
    </row>
    <row r="117" spans="1:24" s="2" customFormat="1" x14ac:dyDescent="0.3">
      <c r="A117" s="452"/>
      <c r="B117" s="449"/>
      <c r="C117" s="449"/>
      <c r="D117" s="449"/>
      <c r="E117" s="449"/>
      <c r="F117" s="455"/>
      <c r="G117" s="544"/>
      <c r="H117" s="458"/>
      <c r="I117" s="470"/>
      <c r="J117" s="547"/>
      <c r="K117" s="550"/>
      <c r="L117" s="449"/>
      <c r="M117" s="449"/>
      <c r="N117" s="383">
        <v>45808</v>
      </c>
      <c r="O117" s="455"/>
      <c r="P117" s="376">
        <v>1500</v>
      </c>
      <c r="Q117" s="377">
        <v>45812</v>
      </c>
      <c r="R117" s="378"/>
      <c r="S117" s="376"/>
      <c r="T117" s="376"/>
      <c r="U117" s="458"/>
      <c r="V117" s="541"/>
      <c r="W117" s="464"/>
      <c r="X117" s="2">
        <v>30</v>
      </c>
    </row>
    <row r="118" spans="1:24" s="2" customFormat="1" x14ac:dyDescent="0.3">
      <c r="A118" s="452"/>
      <c r="B118" s="449"/>
      <c r="C118" s="449"/>
      <c r="D118" s="449"/>
      <c r="E118" s="449"/>
      <c r="F118" s="455"/>
      <c r="G118" s="544"/>
      <c r="H118" s="458"/>
      <c r="I118" s="470"/>
      <c r="J118" s="547"/>
      <c r="K118" s="550"/>
      <c r="L118" s="449"/>
      <c r="M118" s="449"/>
      <c r="N118" s="383">
        <v>45873</v>
      </c>
      <c r="O118" s="455"/>
      <c r="P118" s="376">
        <v>1500</v>
      </c>
      <c r="Q118" s="377">
        <v>45838</v>
      </c>
      <c r="R118" s="378"/>
      <c r="S118" s="376"/>
      <c r="T118" s="376"/>
      <c r="U118" s="458"/>
      <c r="V118" s="541"/>
      <c r="W118" s="464"/>
      <c r="X118" s="2">
        <v>30</v>
      </c>
    </row>
    <row r="119" spans="1:24" s="2" customFormat="1" x14ac:dyDescent="0.3">
      <c r="A119" s="453"/>
      <c r="B119" s="450"/>
      <c r="C119" s="450"/>
      <c r="D119" s="450"/>
      <c r="E119" s="450"/>
      <c r="F119" s="456"/>
      <c r="G119" s="545"/>
      <c r="H119" s="459"/>
      <c r="I119" s="471"/>
      <c r="J119" s="548"/>
      <c r="K119" s="551"/>
      <c r="L119" s="450"/>
      <c r="M119" s="450"/>
      <c r="N119" s="384">
        <v>45873</v>
      </c>
      <c r="O119" s="456"/>
      <c r="P119" s="379">
        <v>1500</v>
      </c>
      <c r="Q119" s="380">
        <v>45869</v>
      </c>
      <c r="R119" s="381"/>
      <c r="S119" s="379"/>
      <c r="T119" s="379"/>
      <c r="U119" s="459"/>
      <c r="V119" s="542"/>
      <c r="W119" s="465"/>
      <c r="X119" s="2">
        <v>30</v>
      </c>
    </row>
    <row r="120" spans="1:24" s="106" customFormat="1" ht="90" customHeight="1" x14ac:dyDescent="0.3">
      <c r="A120" s="512">
        <v>14</v>
      </c>
      <c r="B120" s="505" t="s">
        <v>56</v>
      </c>
      <c r="C120" s="505" t="s">
        <v>146</v>
      </c>
      <c r="D120" s="505" t="s">
        <v>147</v>
      </c>
      <c r="E120" s="505" t="s">
        <v>115</v>
      </c>
      <c r="F120" s="514">
        <v>45677</v>
      </c>
      <c r="G120" s="650" t="s">
        <v>205</v>
      </c>
      <c r="H120" s="516">
        <v>95004</v>
      </c>
      <c r="I120" s="532">
        <f>IF(X120 = 31, H120 + SUM(S120:S122) - SUM(T120:T122) - SUM(P120:P122) - V120,0)</f>
        <v>66240</v>
      </c>
      <c r="J120" s="654">
        <v>2353020735</v>
      </c>
      <c r="K120" s="657" t="s">
        <v>156</v>
      </c>
      <c r="L120" s="505" t="s">
        <v>146</v>
      </c>
      <c r="M120" s="505"/>
      <c r="N120" s="201">
        <v>45677</v>
      </c>
      <c r="O120" s="514" t="s">
        <v>183</v>
      </c>
      <c r="P120" s="192">
        <v>9639</v>
      </c>
      <c r="Q120" s="193">
        <v>45706</v>
      </c>
      <c r="R120" s="194"/>
      <c r="S120" s="192"/>
      <c r="T120" s="192"/>
      <c r="U120" s="516"/>
      <c r="V120" s="646"/>
      <c r="W120" s="536"/>
      <c r="X120" s="106">
        <v>31</v>
      </c>
    </row>
    <row r="121" spans="1:24" s="2" customFormat="1" x14ac:dyDescent="0.3">
      <c r="A121" s="643"/>
      <c r="B121" s="578"/>
      <c r="C121" s="578"/>
      <c r="D121" s="578"/>
      <c r="E121" s="578"/>
      <c r="F121" s="644"/>
      <c r="G121" s="651"/>
      <c r="H121" s="645"/>
      <c r="I121" s="653"/>
      <c r="J121" s="655"/>
      <c r="K121" s="658"/>
      <c r="L121" s="578"/>
      <c r="M121" s="578"/>
      <c r="N121" s="202">
        <v>45716</v>
      </c>
      <c r="O121" s="644"/>
      <c r="P121" s="195">
        <v>9909</v>
      </c>
      <c r="Q121" s="196">
        <v>45730</v>
      </c>
      <c r="R121" s="197"/>
      <c r="S121" s="195"/>
      <c r="T121" s="195"/>
      <c r="U121" s="645"/>
      <c r="V121" s="647"/>
      <c r="W121" s="649"/>
      <c r="X121" s="2">
        <v>31</v>
      </c>
    </row>
    <row r="122" spans="1:24" s="2" customFormat="1" x14ac:dyDescent="0.3">
      <c r="A122" s="513"/>
      <c r="B122" s="506"/>
      <c r="C122" s="506"/>
      <c r="D122" s="506"/>
      <c r="E122" s="506"/>
      <c r="F122" s="515"/>
      <c r="G122" s="652"/>
      <c r="H122" s="517"/>
      <c r="I122" s="533"/>
      <c r="J122" s="656"/>
      <c r="K122" s="659"/>
      <c r="L122" s="506"/>
      <c r="M122" s="506"/>
      <c r="N122" s="203">
        <v>45747</v>
      </c>
      <c r="O122" s="515"/>
      <c r="P122" s="198">
        <v>9216</v>
      </c>
      <c r="Q122" s="199">
        <v>45761</v>
      </c>
      <c r="R122" s="200"/>
      <c r="S122" s="198"/>
      <c r="T122" s="198"/>
      <c r="U122" s="517"/>
      <c r="V122" s="648"/>
      <c r="W122" s="537"/>
      <c r="X122" s="2">
        <v>31</v>
      </c>
    </row>
    <row r="123" spans="1:24" s="106" customFormat="1" ht="90" customHeight="1" x14ac:dyDescent="0.3">
      <c r="A123" s="512">
        <v>15</v>
      </c>
      <c r="B123" s="505" t="s">
        <v>56</v>
      </c>
      <c r="C123" s="505" t="s">
        <v>146</v>
      </c>
      <c r="D123" s="505" t="s">
        <v>147</v>
      </c>
      <c r="E123" s="505" t="s">
        <v>116</v>
      </c>
      <c r="F123" s="514">
        <v>45677</v>
      </c>
      <c r="G123" s="650" t="s">
        <v>205</v>
      </c>
      <c r="H123" s="516">
        <v>48048</v>
      </c>
      <c r="I123" s="532">
        <f>IF(X123 = 32, H123 + SUM(S123:S128) - SUM(T123:T128) - SUM(P123:P128) - V123,0)</f>
        <v>9394</v>
      </c>
      <c r="J123" s="654">
        <v>2353020735</v>
      </c>
      <c r="K123" s="657" t="s">
        <v>156</v>
      </c>
      <c r="L123" s="505" t="s">
        <v>146</v>
      </c>
      <c r="M123" s="505"/>
      <c r="N123" s="201">
        <v>45688</v>
      </c>
      <c r="O123" s="514" t="s">
        <v>183</v>
      </c>
      <c r="P123" s="192">
        <v>9240</v>
      </c>
      <c r="Q123" s="193">
        <v>45706</v>
      </c>
      <c r="R123" s="194"/>
      <c r="S123" s="192"/>
      <c r="T123" s="192"/>
      <c r="U123" s="516"/>
      <c r="V123" s="646"/>
      <c r="W123" s="536"/>
      <c r="X123" s="106">
        <v>32</v>
      </c>
    </row>
    <row r="124" spans="1:24" s="2" customFormat="1" x14ac:dyDescent="0.3">
      <c r="A124" s="643"/>
      <c r="B124" s="578"/>
      <c r="C124" s="578"/>
      <c r="D124" s="578"/>
      <c r="E124" s="578"/>
      <c r="F124" s="644"/>
      <c r="G124" s="651"/>
      <c r="H124" s="645"/>
      <c r="I124" s="653"/>
      <c r="J124" s="655"/>
      <c r="K124" s="658"/>
      <c r="L124" s="578"/>
      <c r="M124" s="578"/>
      <c r="N124" s="202">
        <v>45688</v>
      </c>
      <c r="O124" s="644"/>
      <c r="P124" s="195">
        <v>2310</v>
      </c>
      <c r="Q124" s="196">
        <v>45706</v>
      </c>
      <c r="R124" s="197"/>
      <c r="S124" s="195"/>
      <c r="T124" s="195"/>
      <c r="U124" s="645"/>
      <c r="V124" s="647"/>
      <c r="W124" s="649"/>
      <c r="X124" s="2">
        <v>32</v>
      </c>
    </row>
    <row r="125" spans="1:24" s="2" customFormat="1" x14ac:dyDescent="0.3">
      <c r="A125" s="643"/>
      <c r="B125" s="578"/>
      <c r="C125" s="578"/>
      <c r="D125" s="578"/>
      <c r="E125" s="578"/>
      <c r="F125" s="644"/>
      <c r="G125" s="651"/>
      <c r="H125" s="645"/>
      <c r="I125" s="653"/>
      <c r="J125" s="655"/>
      <c r="K125" s="658"/>
      <c r="L125" s="578"/>
      <c r="M125" s="578"/>
      <c r="N125" s="202">
        <v>45716</v>
      </c>
      <c r="O125" s="644"/>
      <c r="P125" s="195">
        <v>9979.2000000000007</v>
      </c>
      <c r="Q125" s="196">
        <v>45730</v>
      </c>
      <c r="R125" s="197"/>
      <c r="S125" s="195"/>
      <c r="T125" s="195"/>
      <c r="U125" s="645"/>
      <c r="V125" s="647"/>
      <c r="W125" s="649"/>
      <c r="X125" s="2">
        <v>32</v>
      </c>
    </row>
    <row r="126" spans="1:24" s="2" customFormat="1" x14ac:dyDescent="0.3">
      <c r="A126" s="643"/>
      <c r="B126" s="578"/>
      <c r="C126" s="578"/>
      <c r="D126" s="578"/>
      <c r="E126" s="578"/>
      <c r="F126" s="644"/>
      <c r="G126" s="651"/>
      <c r="H126" s="645"/>
      <c r="I126" s="653"/>
      <c r="J126" s="655"/>
      <c r="K126" s="658"/>
      <c r="L126" s="578"/>
      <c r="M126" s="578"/>
      <c r="N126" s="202">
        <v>45716</v>
      </c>
      <c r="O126" s="644"/>
      <c r="P126" s="195">
        <v>2494.8000000000002</v>
      </c>
      <c r="Q126" s="196">
        <v>45730</v>
      </c>
      <c r="R126" s="197"/>
      <c r="S126" s="195"/>
      <c r="T126" s="195"/>
      <c r="U126" s="645"/>
      <c r="V126" s="647"/>
      <c r="W126" s="649"/>
      <c r="X126" s="2">
        <v>32</v>
      </c>
    </row>
    <row r="127" spans="1:24" s="2" customFormat="1" x14ac:dyDescent="0.3">
      <c r="A127" s="643"/>
      <c r="B127" s="578"/>
      <c r="C127" s="578"/>
      <c r="D127" s="578"/>
      <c r="E127" s="578"/>
      <c r="F127" s="644"/>
      <c r="G127" s="651"/>
      <c r="H127" s="645"/>
      <c r="I127" s="653"/>
      <c r="J127" s="655"/>
      <c r="K127" s="658"/>
      <c r="L127" s="578"/>
      <c r="M127" s="578"/>
      <c r="N127" s="202">
        <v>45747</v>
      </c>
      <c r="O127" s="644"/>
      <c r="P127" s="195">
        <v>11704</v>
      </c>
      <c r="Q127" s="196">
        <v>45761</v>
      </c>
      <c r="R127" s="197"/>
      <c r="S127" s="195"/>
      <c r="T127" s="195"/>
      <c r="U127" s="645"/>
      <c r="V127" s="647"/>
      <c r="W127" s="649"/>
      <c r="X127" s="2">
        <v>32</v>
      </c>
    </row>
    <row r="128" spans="1:24" s="2" customFormat="1" x14ac:dyDescent="0.3">
      <c r="A128" s="513"/>
      <c r="B128" s="506"/>
      <c r="C128" s="506"/>
      <c r="D128" s="506"/>
      <c r="E128" s="506"/>
      <c r="F128" s="515"/>
      <c r="G128" s="652"/>
      <c r="H128" s="517"/>
      <c r="I128" s="533"/>
      <c r="J128" s="656"/>
      <c r="K128" s="659"/>
      <c r="L128" s="506"/>
      <c r="M128" s="506"/>
      <c r="N128" s="203">
        <v>45747</v>
      </c>
      <c r="O128" s="515"/>
      <c r="P128" s="198">
        <v>2926</v>
      </c>
      <c r="Q128" s="199">
        <v>45761</v>
      </c>
      <c r="R128" s="200"/>
      <c r="S128" s="198"/>
      <c r="T128" s="198"/>
      <c r="U128" s="517"/>
      <c r="V128" s="648"/>
      <c r="W128" s="537"/>
      <c r="X128" s="2">
        <v>32</v>
      </c>
    </row>
    <row r="129" spans="1:24" s="106" customFormat="1" ht="144" customHeight="1" x14ac:dyDescent="0.3">
      <c r="A129" s="623">
        <v>16</v>
      </c>
      <c r="B129" s="629" t="s">
        <v>56</v>
      </c>
      <c r="C129" s="629" t="s">
        <v>146</v>
      </c>
      <c r="D129" s="629" t="s">
        <v>147</v>
      </c>
      <c r="E129" s="629" t="s">
        <v>206</v>
      </c>
      <c r="F129" s="625">
        <v>45686</v>
      </c>
      <c r="G129" s="635" t="s">
        <v>207</v>
      </c>
      <c r="H129" s="627">
        <v>5640</v>
      </c>
      <c r="I129" s="637">
        <f>IF(X129 = 33, H129 + SUM(S129:S130) - SUM(T129:T130) - SUM(P129:P130) - V129,0)</f>
        <v>0</v>
      </c>
      <c r="J129" s="639">
        <v>6663003127</v>
      </c>
      <c r="K129" s="641" t="s">
        <v>208</v>
      </c>
      <c r="L129" s="629" t="s">
        <v>146</v>
      </c>
      <c r="M129" s="629"/>
      <c r="N129" s="149"/>
      <c r="O129" s="625" t="s">
        <v>209</v>
      </c>
      <c r="P129" s="143">
        <v>1692</v>
      </c>
      <c r="Q129" s="144">
        <v>45693</v>
      </c>
      <c r="R129" s="145"/>
      <c r="S129" s="143"/>
      <c r="T129" s="143"/>
      <c r="U129" s="627"/>
      <c r="V129" s="631"/>
      <c r="W129" s="633"/>
      <c r="X129" s="106">
        <v>33</v>
      </c>
    </row>
    <row r="130" spans="1:24" s="2" customFormat="1" x14ac:dyDescent="0.3">
      <c r="A130" s="624"/>
      <c r="B130" s="630"/>
      <c r="C130" s="630"/>
      <c r="D130" s="630"/>
      <c r="E130" s="630"/>
      <c r="F130" s="626"/>
      <c r="G130" s="636"/>
      <c r="H130" s="628"/>
      <c r="I130" s="638"/>
      <c r="J130" s="640"/>
      <c r="K130" s="642"/>
      <c r="L130" s="630"/>
      <c r="M130" s="630"/>
      <c r="N130" s="150">
        <v>45686</v>
      </c>
      <c r="O130" s="626"/>
      <c r="P130" s="146">
        <v>3948</v>
      </c>
      <c r="Q130" s="147">
        <v>45699</v>
      </c>
      <c r="R130" s="148"/>
      <c r="S130" s="146"/>
      <c r="T130" s="146"/>
      <c r="U130" s="628"/>
      <c r="V130" s="632"/>
      <c r="W130" s="634"/>
      <c r="X130" s="2">
        <v>33</v>
      </c>
    </row>
    <row r="131" spans="1:24" s="106" customFormat="1" ht="108" x14ac:dyDescent="0.3">
      <c r="A131" s="116">
        <v>17</v>
      </c>
      <c r="B131" s="117" t="s">
        <v>56</v>
      </c>
      <c r="C131" s="117" t="s">
        <v>146</v>
      </c>
      <c r="D131" s="117" t="s">
        <v>147</v>
      </c>
      <c r="E131" s="117" t="s">
        <v>130</v>
      </c>
      <c r="F131" s="127">
        <v>45686</v>
      </c>
      <c r="G131" s="120" t="s">
        <v>191</v>
      </c>
      <c r="H131" s="118">
        <v>30850</v>
      </c>
      <c r="I131" s="119">
        <f>IF(X131 = 34, H131 + SUM(S131:S131) - SUM(T131:T131) - SUM(P131:P131) - V131,0)</f>
        <v>0</v>
      </c>
      <c r="J131" s="124">
        <v>235303483777</v>
      </c>
      <c r="K131" s="125" t="s">
        <v>210</v>
      </c>
      <c r="L131" s="117" t="s">
        <v>146</v>
      </c>
      <c r="M131" s="117"/>
      <c r="N131" s="127">
        <v>45688</v>
      </c>
      <c r="O131" s="127" t="s">
        <v>183</v>
      </c>
      <c r="P131" s="118">
        <v>30850</v>
      </c>
      <c r="Q131" s="120">
        <v>45694</v>
      </c>
      <c r="R131" s="117"/>
      <c r="S131" s="118"/>
      <c r="T131" s="118"/>
      <c r="U131" s="118"/>
      <c r="V131" s="126"/>
      <c r="W131" s="123"/>
      <c r="X131" s="106">
        <v>34</v>
      </c>
    </row>
    <row r="132" spans="1:24" s="106" customFormat="1" ht="108" x14ac:dyDescent="0.3">
      <c r="A132" s="116">
        <v>18</v>
      </c>
      <c r="B132" s="117" t="s">
        <v>56</v>
      </c>
      <c r="C132" s="117" t="s">
        <v>146</v>
      </c>
      <c r="D132" s="117" t="s">
        <v>147</v>
      </c>
      <c r="E132" s="117" t="s">
        <v>219</v>
      </c>
      <c r="F132" s="137">
        <v>45708</v>
      </c>
      <c r="G132" s="120" t="s">
        <v>220</v>
      </c>
      <c r="H132" s="118">
        <v>88051.81</v>
      </c>
      <c r="I132" s="119">
        <f>IF(X132 = 35, H132 + SUM(S132:S132) - SUM(T132:T132) - SUM(P132:P132) - V132,0)</f>
        <v>0</v>
      </c>
      <c r="J132" s="124">
        <v>7715995942</v>
      </c>
      <c r="K132" s="125" t="s">
        <v>221</v>
      </c>
      <c r="L132" s="117" t="s">
        <v>146</v>
      </c>
      <c r="M132" s="117"/>
      <c r="N132" s="137">
        <v>45781</v>
      </c>
      <c r="O132" s="137" t="s">
        <v>183</v>
      </c>
      <c r="P132" s="118">
        <v>88051.81</v>
      </c>
      <c r="Q132" s="120">
        <v>45806</v>
      </c>
      <c r="R132" s="117"/>
      <c r="S132" s="118"/>
      <c r="T132" s="118"/>
      <c r="U132" s="118"/>
      <c r="V132" s="126"/>
      <c r="W132" s="136"/>
      <c r="X132" s="106">
        <v>35</v>
      </c>
    </row>
    <row r="133" spans="1:24" s="106" customFormat="1" ht="90" customHeight="1" x14ac:dyDescent="0.3">
      <c r="A133" s="587">
        <v>19</v>
      </c>
      <c r="B133" s="593" t="s">
        <v>56</v>
      </c>
      <c r="C133" s="593" t="s">
        <v>146</v>
      </c>
      <c r="D133" s="593" t="s">
        <v>147</v>
      </c>
      <c r="E133" s="593" t="s">
        <v>229</v>
      </c>
      <c r="F133" s="589">
        <v>45677</v>
      </c>
      <c r="G133" s="599" t="s">
        <v>230</v>
      </c>
      <c r="H133" s="591">
        <v>29510.04</v>
      </c>
      <c r="I133" s="601">
        <f>IF(X133 = 37, H133 + SUM(S133:S134) - SUM(T133:T134) - SUM(P133:P134) - V133,0)</f>
        <v>14755.02</v>
      </c>
      <c r="J133" s="603">
        <v>2353018870</v>
      </c>
      <c r="K133" s="605" t="s">
        <v>231</v>
      </c>
      <c r="L133" s="593" t="s">
        <v>146</v>
      </c>
      <c r="M133" s="593"/>
      <c r="N133" s="164">
        <v>45743</v>
      </c>
      <c r="O133" s="589" t="s">
        <v>183</v>
      </c>
      <c r="P133" s="165">
        <v>7377.51</v>
      </c>
      <c r="Q133" s="166">
        <v>45749</v>
      </c>
      <c r="R133" s="167"/>
      <c r="S133" s="165"/>
      <c r="T133" s="165"/>
      <c r="U133" s="591"/>
      <c r="V133" s="595"/>
      <c r="W133" s="597"/>
      <c r="X133" s="106">
        <v>37</v>
      </c>
    </row>
    <row r="134" spans="1:24" s="2" customFormat="1" x14ac:dyDescent="0.3">
      <c r="A134" s="588"/>
      <c r="B134" s="594"/>
      <c r="C134" s="594"/>
      <c r="D134" s="594"/>
      <c r="E134" s="594"/>
      <c r="F134" s="590"/>
      <c r="G134" s="600"/>
      <c r="H134" s="592"/>
      <c r="I134" s="602"/>
      <c r="J134" s="604"/>
      <c r="K134" s="606"/>
      <c r="L134" s="594"/>
      <c r="M134" s="594"/>
      <c r="N134" s="168">
        <v>45835</v>
      </c>
      <c r="O134" s="590"/>
      <c r="P134" s="169">
        <v>7377.51</v>
      </c>
      <c r="Q134" s="170">
        <v>45835</v>
      </c>
      <c r="R134" s="171"/>
      <c r="S134" s="169"/>
      <c r="T134" s="169"/>
      <c r="U134" s="592"/>
      <c r="V134" s="596"/>
      <c r="W134" s="598"/>
      <c r="X134" s="2">
        <v>37</v>
      </c>
    </row>
    <row r="135" spans="1:24" s="106" customFormat="1" ht="108" x14ac:dyDescent="0.3">
      <c r="A135" s="153">
        <v>20</v>
      </c>
      <c r="B135" s="154" t="s">
        <v>56</v>
      </c>
      <c r="C135" s="154" t="s">
        <v>146</v>
      </c>
      <c r="D135" s="154" t="s">
        <v>147</v>
      </c>
      <c r="E135" s="154" t="s">
        <v>234</v>
      </c>
      <c r="F135" s="162">
        <v>45714</v>
      </c>
      <c r="G135" s="156" t="s">
        <v>236</v>
      </c>
      <c r="H135" s="157">
        <v>2625</v>
      </c>
      <c r="I135" s="158">
        <f>IF(X135 = 38, H135 + SUM(S135:S135) - SUM(T135:T135) - SUM(P135:P135) - V135,0)</f>
        <v>0</v>
      </c>
      <c r="J135" s="159">
        <v>7728499444</v>
      </c>
      <c r="K135" s="160" t="s">
        <v>235</v>
      </c>
      <c r="L135" s="154" t="s">
        <v>146</v>
      </c>
      <c r="M135" s="154"/>
      <c r="N135" s="162">
        <v>45714</v>
      </c>
      <c r="O135" s="162" t="s">
        <v>183</v>
      </c>
      <c r="P135" s="157">
        <v>2625</v>
      </c>
      <c r="Q135" s="156">
        <v>45736</v>
      </c>
      <c r="R135" s="154"/>
      <c r="S135" s="157"/>
      <c r="T135" s="157"/>
      <c r="U135" s="157"/>
      <c r="V135" s="161"/>
      <c r="W135" s="151"/>
      <c r="X135" s="106">
        <v>38</v>
      </c>
    </row>
    <row r="136" spans="1:24" s="106" customFormat="1" ht="108" x14ac:dyDescent="0.3">
      <c r="A136" s="153">
        <v>21</v>
      </c>
      <c r="B136" s="154" t="s">
        <v>56</v>
      </c>
      <c r="C136" s="154" t="s">
        <v>146</v>
      </c>
      <c r="D136" s="154" t="s">
        <v>147</v>
      </c>
      <c r="E136" s="154" t="s">
        <v>121</v>
      </c>
      <c r="F136" s="162">
        <v>45726</v>
      </c>
      <c r="G136" s="156" t="s">
        <v>237</v>
      </c>
      <c r="H136" s="157">
        <v>66800</v>
      </c>
      <c r="I136" s="158">
        <f>IF(X136 = 39, H136 + SUM(S136:S136) - SUM(T136:T136) - SUM(P136:P136) - V136,0)</f>
        <v>0</v>
      </c>
      <c r="J136" s="159">
        <v>235000239811</v>
      </c>
      <c r="K136" s="160" t="s">
        <v>238</v>
      </c>
      <c r="L136" s="154" t="s">
        <v>146</v>
      </c>
      <c r="M136" s="154"/>
      <c r="N136" s="162">
        <v>45726</v>
      </c>
      <c r="O136" s="162" t="s">
        <v>183</v>
      </c>
      <c r="P136" s="157">
        <v>66800</v>
      </c>
      <c r="Q136" s="156">
        <v>45727</v>
      </c>
      <c r="R136" s="154"/>
      <c r="S136" s="157"/>
      <c r="T136" s="157"/>
      <c r="U136" s="157"/>
      <c r="V136" s="161"/>
      <c r="W136" s="151"/>
      <c r="X136" s="106">
        <v>39</v>
      </c>
    </row>
    <row r="137" spans="1:24" s="106" customFormat="1" ht="108" x14ac:dyDescent="0.3">
      <c r="A137" s="153">
        <v>22</v>
      </c>
      <c r="B137" s="154" t="s">
        <v>56</v>
      </c>
      <c r="C137" s="154" t="s">
        <v>146</v>
      </c>
      <c r="D137" s="154" t="s">
        <v>147</v>
      </c>
      <c r="E137" s="154" t="s">
        <v>128</v>
      </c>
      <c r="F137" s="162">
        <v>45740</v>
      </c>
      <c r="G137" s="156" t="s">
        <v>245</v>
      </c>
      <c r="H137" s="157">
        <v>31370</v>
      </c>
      <c r="I137" s="158">
        <f>IF(X137 = 40, H137 + SUM(S137:S137) - SUM(T137:T137) - SUM(P137:P137) - V137,0)</f>
        <v>0</v>
      </c>
      <c r="J137" s="159">
        <v>231500102141</v>
      </c>
      <c r="K137" s="160" t="s">
        <v>246</v>
      </c>
      <c r="L137" s="154" t="s">
        <v>146</v>
      </c>
      <c r="M137" s="154"/>
      <c r="N137" s="162">
        <v>45740</v>
      </c>
      <c r="O137" s="162" t="s">
        <v>183</v>
      </c>
      <c r="P137" s="157">
        <v>31370</v>
      </c>
      <c r="Q137" s="156">
        <v>45741</v>
      </c>
      <c r="R137" s="154"/>
      <c r="S137" s="157"/>
      <c r="T137" s="157"/>
      <c r="U137" s="157"/>
      <c r="V137" s="161"/>
      <c r="W137" s="151"/>
      <c r="X137" s="106">
        <v>40</v>
      </c>
    </row>
    <row r="138" spans="1:24" s="106" customFormat="1" ht="108" x14ac:dyDescent="0.3">
      <c r="A138" s="153">
        <v>23</v>
      </c>
      <c r="B138" s="154" t="s">
        <v>56</v>
      </c>
      <c r="C138" s="154" t="s">
        <v>146</v>
      </c>
      <c r="D138" s="154" t="s">
        <v>147</v>
      </c>
      <c r="E138" s="154" t="s">
        <v>130</v>
      </c>
      <c r="F138" s="162">
        <v>45741</v>
      </c>
      <c r="G138" s="156" t="s">
        <v>191</v>
      </c>
      <c r="H138" s="157">
        <v>24340</v>
      </c>
      <c r="I138" s="158">
        <f>IF(X138 = 41, H138 + SUM(S138:S138) - SUM(T138:T138) - SUM(P138:P138) - V138,0)</f>
        <v>0</v>
      </c>
      <c r="J138" s="159">
        <v>235303483777</v>
      </c>
      <c r="K138" s="160" t="s">
        <v>210</v>
      </c>
      <c r="L138" s="154" t="s">
        <v>146</v>
      </c>
      <c r="M138" s="154"/>
      <c r="N138" s="162">
        <v>45743</v>
      </c>
      <c r="O138" s="162" t="s">
        <v>183</v>
      </c>
      <c r="P138" s="157">
        <v>24340</v>
      </c>
      <c r="Q138" s="156">
        <v>45748</v>
      </c>
      <c r="R138" s="154"/>
      <c r="S138" s="157"/>
      <c r="T138" s="157"/>
      <c r="U138" s="157"/>
      <c r="V138" s="161"/>
      <c r="W138" s="151"/>
      <c r="X138" s="106">
        <v>41</v>
      </c>
    </row>
    <row r="139" spans="1:24" s="106" customFormat="1" ht="108" x14ac:dyDescent="0.3">
      <c r="A139" s="176">
        <v>24</v>
      </c>
      <c r="B139" s="175" t="s">
        <v>56</v>
      </c>
      <c r="C139" s="175" t="s">
        <v>146</v>
      </c>
      <c r="D139" s="175" t="s">
        <v>147</v>
      </c>
      <c r="E139" s="175" t="s">
        <v>247</v>
      </c>
      <c r="F139" s="183">
        <v>45740</v>
      </c>
      <c r="G139" s="177" t="s">
        <v>248</v>
      </c>
      <c r="H139" s="178">
        <v>37440</v>
      </c>
      <c r="I139" s="179">
        <f>IF(X139 = 42, H139 + SUM(S139:S139) - SUM(T139:T139) - SUM(P139:P139) - V139,0)</f>
        <v>0</v>
      </c>
      <c r="J139" s="180">
        <v>2353006498</v>
      </c>
      <c r="K139" s="181" t="s">
        <v>249</v>
      </c>
      <c r="L139" s="175" t="s">
        <v>146</v>
      </c>
      <c r="M139" s="175"/>
      <c r="N139" s="183"/>
      <c r="O139" s="183" t="s">
        <v>183</v>
      </c>
      <c r="P139" s="178">
        <v>37440</v>
      </c>
      <c r="Q139" s="177">
        <v>45818</v>
      </c>
      <c r="R139" s="175"/>
      <c r="S139" s="178"/>
      <c r="T139" s="178"/>
      <c r="U139" s="178"/>
      <c r="V139" s="182"/>
      <c r="W139" s="174"/>
      <c r="X139" s="106">
        <v>42</v>
      </c>
    </row>
    <row r="140" spans="1:24" s="106" customFormat="1" ht="90" customHeight="1" x14ac:dyDescent="0.3">
      <c r="A140" s="451">
        <v>25</v>
      </c>
      <c r="B140" s="448" t="s">
        <v>56</v>
      </c>
      <c r="C140" s="448" t="s">
        <v>162</v>
      </c>
      <c r="D140" s="448" t="s">
        <v>147</v>
      </c>
      <c r="E140" s="448" t="s">
        <v>250</v>
      </c>
      <c r="F140" s="454">
        <v>45743</v>
      </c>
      <c r="G140" s="543" t="s">
        <v>163</v>
      </c>
      <c r="H140" s="457">
        <v>498100</v>
      </c>
      <c r="I140" s="469">
        <f>IF(X140 = 43, H140 + SUM(S140:S144) - SUM(T140:T144) - SUM(P140:P144) - V140,0)</f>
        <v>253581.81</v>
      </c>
      <c r="J140" s="546">
        <v>2310195709</v>
      </c>
      <c r="K140" s="549" t="s">
        <v>200</v>
      </c>
      <c r="L140" s="448" t="s">
        <v>146</v>
      </c>
      <c r="M140" s="448"/>
      <c r="N140" s="382">
        <v>45777</v>
      </c>
      <c r="O140" s="454" t="s">
        <v>183</v>
      </c>
      <c r="P140" s="373">
        <v>70682.5</v>
      </c>
      <c r="Q140" s="374">
        <v>45789</v>
      </c>
      <c r="R140" s="375"/>
      <c r="S140" s="373"/>
      <c r="T140" s="373"/>
      <c r="U140" s="457"/>
      <c r="V140" s="540"/>
      <c r="W140" s="463"/>
      <c r="X140" s="106">
        <v>43</v>
      </c>
    </row>
    <row r="141" spans="1:24" s="2" customFormat="1" x14ac:dyDescent="0.3">
      <c r="A141" s="452"/>
      <c r="B141" s="449"/>
      <c r="C141" s="449"/>
      <c r="D141" s="449"/>
      <c r="E141" s="449"/>
      <c r="F141" s="455"/>
      <c r="G141" s="544"/>
      <c r="H141" s="458"/>
      <c r="I141" s="470"/>
      <c r="J141" s="547"/>
      <c r="K141" s="550"/>
      <c r="L141" s="449"/>
      <c r="M141" s="449"/>
      <c r="N141" s="383">
        <v>45808</v>
      </c>
      <c r="O141" s="455"/>
      <c r="P141" s="376">
        <v>87945.19</v>
      </c>
      <c r="Q141" s="377">
        <v>45818</v>
      </c>
      <c r="R141" s="378"/>
      <c r="S141" s="376"/>
      <c r="T141" s="376"/>
      <c r="U141" s="458"/>
      <c r="V141" s="541"/>
      <c r="W141" s="464"/>
      <c r="X141" s="2">
        <v>43</v>
      </c>
    </row>
    <row r="142" spans="1:24" s="2" customFormat="1" x14ac:dyDescent="0.3">
      <c r="A142" s="452"/>
      <c r="B142" s="449"/>
      <c r="C142" s="449"/>
      <c r="D142" s="449"/>
      <c r="E142" s="449"/>
      <c r="F142" s="455"/>
      <c r="G142" s="544"/>
      <c r="H142" s="458"/>
      <c r="I142" s="470"/>
      <c r="J142" s="547"/>
      <c r="K142" s="550"/>
      <c r="L142" s="449"/>
      <c r="M142" s="449"/>
      <c r="N142" s="383">
        <v>45838</v>
      </c>
      <c r="O142" s="455"/>
      <c r="P142" s="376">
        <v>63998</v>
      </c>
      <c r="Q142" s="377">
        <v>45846</v>
      </c>
      <c r="R142" s="378"/>
      <c r="S142" s="376"/>
      <c r="T142" s="376"/>
      <c r="U142" s="458"/>
      <c r="V142" s="541"/>
      <c r="W142" s="464"/>
      <c r="X142" s="2">
        <v>43</v>
      </c>
    </row>
    <row r="143" spans="1:24" s="2" customFormat="1" x14ac:dyDescent="0.3">
      <c r="A143" s="452"/>
      <c r="B143" s="449"/>
      <c r="C143" s="449"/>
      <c r="D143" s="449"/>
      <c r="E143" s="449"/>
      <c r="F143" s="455"/>
      <c r="G143" s="544"/>
      <c r="H143" s="458"/>
      <c r="I143" s="470"/>
      <c r="J143" s="547"/>
      <c r="K143" s="550"/>
      <c r="L143" s="449"/>
      <c r="M143" s="449"/>
      <c r="N143" s="383">
        <v>45869</v>
      </c>
      <c r="O143" s="455"/>
      <c r="P143" s="376">
        <v>21892.5</v>
      </c>
      <c r="Q143" s="377">
        <v>45883</v>
      </c>
      <c r="R143" s="378"/>
      <c r="S143" s="376"/>
      <c r="T143" s="376"/>
      <c r="U143" s="458"/>
      <c r="V143" s="541"/>
      <c r="W143" s="464"/>
      <c r="X143" s="2">
        <v>43</v>
      </c>
    </row>
    <row r="144" spans="1:24" s="2" customFormat="1" x14ac:dyDescent="0.3">
      <c r="A144" s="453"/>
      <c r="B144" s="450"/>
      <c r="C144" s="450"/>
      <c r="D144" s="450"/>
      <c r="E144" s="450"/>
      <c r="F144" s="456"/>
      <c r="G144" s="545"/>
      <c r="H144" s="459"/>
      <c r="I144" s="471"/>
      <c r="J144" s="548"/>
      <c r="K144" s="551"/>
      <c r="L144" s="450"/>
      <c r="M144" s="450"/>
      <c r="N144" s="384"/>
      <c r="O144" s="456"/>
      <c r="P144" s="379"/>
      <c r="Q144" s="380"/>
      <c r="R144" s="381"/>
      <c r="S144" s="379"/>
      <c r="T144" s="379"/>
      <c r="U144" s="459"/>
      <c r="V144" s="542"/>
      <c r="W144" s="465"/>
      <c r="X144" s="2">
        <v>43</v>
      </c>
    </row>
    <row r="145" spans="1:24" s="106" customFormat="1" ht="108" x14ac:dyDescent="0.3">
      <c r="A145" s="176">
        <v>26</v>
      </c>
      <c r="B145" s="184" t="s">
        <v>56</v>
      </c>
      <c r="C145" s="184" t="s">
        <v>146</v>
      </c>
      <c r="D145" s="184" t="s">
        <v>147</v>
      </c>
      <c r="E145" s="184" t="s">
        <v>258</v>
      </c>
      <c r="F145" s="189">
        <v>45754</v>
      </c>
      <c r="G145" s="177" t="s">
        <v>259</v>
      </c>
      <c r="H145" s="178">
        <v>1297</v>
      </c>
      <c r="I145" s="179">
        <f>IF(X145 = 44, H145 + SUM(S145:S145) - SUM(T145:T145) - SUM(P145:P145) - V145,0)</f>
        <v>0</v>
      </c>
      <c r="J145" s="180">
        <v>2310132554</v>
      </c>
      <c r="K145" s="181" t="s">
        <v>260</v>
      </c>
      <c r="L145" s="184" t="s">
        <v>146</v>
      </c>
      <c r="M145" s="184"/>
      <c r="N145" s="189">
        <v>45770</v>
      </c>
      <c r="O145" s="189" t="s">
        <v>183</v>
      </c>
      <c r="P145" s="178">
        <v>1297</v>
      </c>
      <c r="Q145" s="177">
        <v>45777</v>
      </c>
      <c r="R145" s="184"/>
      <c r="S145" s="178"/>
      <c r="T145" s="178"/>
      <c r="U145" s="178"/>
      <c r="V145" s="182"/>
      <c r="W145" s="185"/>
      <c r="X145" s="106">
        <v>44</v>
      </c>
    </row>
    <row r="146" spans="1:24" s="106" customFormat="1" ht="90" customHeight="1" x14ac:dyDescent="0.3">
      <c r="A146" s="520">
        <v>27</v>
      </c>
      <c r="B146" s="526" t="s">
        <v>56</v>
      </c>
      <c r="C146" s="526" t="s">
        <v>146</v>
      </c>
      <c r="D146" s="526" t="s">
        <v>147</v>
      </c>
      <c r="E146" s="526" t="s">
        <v>132</v>
      </c>
      <c r="F146" s="522">
        <v>45748</v>
      </c>
      <c r="G146" s="672" t="s">
        <v>276</v>
      </c>
      <c r="H146" s="524">
        <v>101920</v>
      </c>
      <c r="I146" s="534">
        <f>IF(X146 = 45, H146 + SUM(S146:S147) - SUM(T146:T147) - SUM(P146:P147) - V146,0)</f>
        <v>72702</v>
      </c>
      <c r="J146" s="679">
        <v>2353020735</v>
      </c>
      <c r="K146" s="682" t="s">
        <v>156</v>
      </c>
      <c r="L146" s="526" t="s">
        <v>146</v>
      </c>
      <c r="M146" s="526"/>
      <c r="N146" s="243">
        <v>45800</v>
      </c>
      <c r="O146" s="522" t="s">
        <v>183</v>
      </c>
      <c r="P146" s="237">
        <v>11228</v>
      </c>
      <c r="Q146" s="238">
        <v>45813</v>
      </c>
      <c r="R146" s="239"/>
      <c r="S146" s="237"/>
      <c r="T146" s="237"/>
      <c r="U146" s="524"/>
      <c r="V146" s="662"/>
      <c r="W146" s="538"/>
      <c r="X146" s="106">
        <v>45</v>
      </c>
    </row>
    <row r="147" spans="1:24" s="2" customFormat="1" x14ac:dyDescent="0.3">
      <c r="A147" s="521"/>
      <c r="B147" s="527"/>
      <c r="C147" s="527"/>
      <c r="D147" s="527"/>
      <c r="E147" s="527"/>
      <c r="F147" s="523"/>
      <c r="G147" s="685"/>
      <c r="H147" s="525"/>
      <c r="I147" s="535"/>
      <c r="J147" s="686"/>
      <c r="K147" s="687"/>
      <c r="L147" s="527"/>
      <c r="M147" s="527"/>
      <c r="N147" s="244">
        <v>45777</v>
      </c>
      <c r="O147" s="523"/>
      <c r="P147" s="240">
        <v>17990</v>
      </c>
      <c r="Q147" s="241">
        <v>45798</v>
      </c>
      <c r="R147" s="242"/>
      <c r="S147" s="240"/>
      <c r="T147" s="240"/>
      <c r="U147" s="525"/>
      <c r="V147" s="665"/>
      <c r="W147" s="539"/>
      <c r="X147" s="2">
        <v>45</v>
      </c>
    </row>
    <row r="148" spans="1:24" s="106" customFormat="1" ht="90" customHeight="1" x14ac:dyDescent="0.3">
      <c r="A148" s="520">
        <v>28</v>
      </c>
      <c r="B148" s="526" t="s">
        <v>56</v>
      </c>
      <c r="C148" s="526" t="s">
        <v>146</v>
      </c>
      <c r="D148" s="526" t="s">
        <v>147</v>
      </c>
      <c r="E148" s="526" t="s">
        <v>133</v>
      </c>
      <c r="F148" s="522">
        <v>45748</v>
      </c>
      <c r="G148" s="672" t="s">
        <v>276</v>
      </c>
      <c r="H148" s="524">
        <v>334180</v>
      </c>
      <c r="I148" s="534">
        <f>IF(X148 = 46, H148 + SUM(S148:S149) - SUM(T148:T149) - SUM(P148:P149) - V148,0)</f>
        <v>75460</v>
      </c>
      <c r="J148" s="679">
        <v>2353020735</v>
      </c>
      <c r="K148" s="682" t="s">
        <v>156</v>
      </c>
      <c r="L148" s="526" t="s">
        <v>146</v>
      </c>
      <c r="M148" s="526"/>
      <c r="N148" s="243">
        <v>45800</v>
      </c>
      <c r="O148" s="522" t="s">
        <v>183</v>
      </c>
      <c r="P148" s="237">
        <v>103180</v>
      </c>
      <c r="Q148" s="238">
        <v>45812</v>
      </c>
      <c r="R148" s="239"/>
      <c r="S148" s="237"/>
      <c r="T148" s="237"/>
      <c r="U148" s="524"/>
      <c r="V148" s="662"/>
      <c r="W148" s="538"/>
      <c r="X148" s="106">
        <v>46</v>
      </c>
    </row>
    <row r="149" spans="1:24" s="2" customFormat="1" x14ac:dyDescent="0.3">
      <c r="A149" s="521"/>
      <c r="B149" s="527"/>
      <c r="C149" s="527"/>
      <c r="D149" s="527"/>
      <c r="E149" s="527"/>
      <c r="F149" s="523"/>
      <c r="G149" s="685"/>
      <c r="H149" s="525"/>
      <c r="I149" s="535"/>
      <c r="J149" s="686"/>
      <c r="K149" s="687"/>
      <c r="L149" s="527"/>
      <c r="M149" s="527"/>
      <c r="N149" s="244">
        <v>45777</v>
      </c>
      <c r="O149" s="523"/>
      <c r="P149" s="240">
        <v>155540</v>
      </c>
      <c r="Q149" s="241">
        <v>45798</v>
      </c>
      <c r="R149" s="242"/>
      <c r="S149" s="240"/>
      <c r="T149" s="240"/>
      <c r="U149" s="525"/>
      <c r="V149" s="665"/>
      <c r="W149" s="539"/>
      <c r="X149" s="2">
        <v>46</v>
      </c>
    </row>
    <row r="150" spans="1:24" s="106" customFormat="1" ht="90" customHeight="1" x14ac:dyDescent="0.3">
      <c r="A150" s="520">
        <v>29</v>
      </c>
      <c r="B150" s="526" t="s">
        <v>56</v>
      </c>
      <c r="C150" s="526" t="s">
        <v>146</v>
      </c>
      <c r="D150" s="526" t="s">
        <v>147</v>
      </c>
      <c r="E150" s="526" t="s">
        <v>134</v>
      </c>
      <c r="F150" s="522">
        <v>45748</v>
      </c>
      <c r="G150" s="672" t="s">
        <v>276</v>
      </c>
      <c r="H150" s="524">
        <v>140987</v>
      </c>
      <c r="I150" s="534">
        <f>IF(X150 = 47, H150 + SUM(S150:S159) - SUM(T150:T159) - SUM(P150:P159) - V150,0)</f>
        <v>48473</v>
      </c>
      <c r="J150" s="679">
        <v>2353020735</v>
      </c>
      <c r="K150" s="682" t="s">
        <v>156</v>
      </c>
      <c r="L150" s="526" t="s">
        <v>146</v>
      </c>
      <c r="M150" s="526"/>
      <c r="N150" s="243">
        <v>45800</v>
      </c>
      <c r="O150" s="522" t="s">
        <v>183</v>
      </c>
      <c r="P150" s="237">
        <v>3944.4</v>
      </c>
      <c r="Q150" s="238">
        <v>45812</v>
      </c>
      <c r="R150" s="239"/>
      <c r="S150" s="237"/>
      <c r="T150" s="237"/>
      <c r="U150" s="524"/>
      <c r="V150" s="662"/>
      <c r="W150" s="538"/>
      <c r="X150" s="106">
        <v>47</v>
      </c>
    </row>
    <row r="151" spans="1:24" s="2" customFormat="1" x14ac:dyDescent="0.3">
      <c r="A151" s="666"/>
      <c r="B151" s="660"/>
      <c r="C151" s="660"/>
      <c r="D151" s="660"/>
      <c r="E151" s="660"/>
      <c r="F151" s="670"/>
      <c r="G151" s="673"/>
      <c r="H151" s="675"/>
      <c r="I151" s="677"/>
      <c r="J151" s="680"/>
      <c r="K151" s="683"/>
      <c r="L151" s="660"/>
      <c r="M151" s="660"/>
      <c r="N151" s="247">
        <v>45800</v>
      </c>
      <c r="O151" s="670"/>
      <c r="P151" s="248">
        <v>1330</v>
      </c>
      <c r="Q151" s="249">
        <v>45812</v>
      </c>
      <c r="R151" s="250"/>
      <c r="S151" s="248"/>
      <c r="T151" s="248"/>
      <c r="U151" s="675"/>
      <c r="V151" s="663"/>
      <c r="W151" s="668"/>
      <c r="X151" s="2">
        <v>47</v>
      </c>
    </row>
    <row r="152" spans="1:24" s="2" customFormat="1" x14ac:dyDescent="0.3">
      <c r="A152" s="666"/>
      <c r="B152" s="660"/>
      <c r="C152" s="660"/>
      <c r="D152" s="660"/>
      <c r="E152" s="660"/>
      <c r="F152" s="670"/>
      <c r="G152" s="673"/>
      <c r="H152" s="675"/>
      <c r="I152" s="677"/>
      <c r="J152" s="680"/>
      <c r="K152" s="683"/>
      <c r="L152" s="660"/>
      <c r="M152" s="660"/>
      <c r="N152" s="247">
        <v>45800</v>
      </c>
      <c r="O152" s="670"/>
      <c r="P152" s="248">
        <v>11375.7</v>
      </c>
      <c r="Q152" s="249">
        <v>45812</v>
      </c>
      <c r="R152" s="250"/>
      <c r="S152" s="248"/>
      <c r="T152" s="248"/>
      <c r="U152" s="675"/>
      <c r="V152" s="663"/>
      <c r="W152" s="668"/>
      <c r="X152" s="2">
        <v>47</v>
      </c>
    </row>
    <row r="153" spans="1:24" s="2" customFormat="1" x14ac:dyDescent="0.3">
      <c r="A153" s="666"/>
      <c r="B153" s="660"/>
      <c r="C153" s="660"/>
      <c r="D153" s="660"/>
      <c r="E153" s="660"/>
      <c r="F153" s="670"/>
      <c r="G153" s="673"/>
      <c r="H153" s="675"/>
      <c r="I153" s="677"/>
      <c r="J153" s="680"/>
      <c r="K153" s="683"/>
      <c r="L153" s="660"/>
      <c r="M153" s="660"/>
      <c r="N153" s="247">
        <v>45800</v>
      </c>
      <c r="O153" s="670"/>
      <c r="P153" s="248">
        <v>9307.5</v>
      </c>
      <c r="Q153" s="249">
        <v>45812</v>
      </c>
      <c r="R153" s="250"/>
      <c r="S153" s="248"/>
      <c r="T153" s="248"/>
      <c r="U153" s="675"/>
      <c r="V153" s="663"/>
      <c r="W153" s="668"/>
      <c r="X153" s="2">
        <v>47</v>
      </c>
    </row>
    <row r="154" spans="1:24" s="2" customFormat="1" x14ac:dyDescent="0.3">
      <c r="A154" s="666"/>
      <c r="B154" s="660"/>
      <c r="C154" s="660"/>
      <c r="D154" s="660"/>
      <c r="E154" s="660"/>
      <c r="F154" s="670"/>
      <c r="G154" s="673"/>
      <c r="H154" s="675"/>
      <c r="I154" s="677"/>
      <c r="J154" s="680"/>
      <c r="K154" s="683"/>
      <c r="L154" s="660"/>
      <c r="M154" s="660"/>
      <c r="N154" s="247">
        <v>45800</v>
      </c>
      <c r="O154" s="670"/>
      <c r="P154" s="248">
        <v>6965</v>
      </c>
      <c r="Q154" s="249">
        <v>45813</v>
      </c>
      <c r="R154" s="250"/>
      <c r="S154" s="248"/>
      <c r="T154" s="248"/>
      <c r="U154" s="675"/>
      <c r="V154" s="663"/>
      <c r="W154" s="668"/>
      <c r="X154" s="2">
        <v>47</v>
      </c>
    </row>
    <row r="155" spans="1:24" s="2" customFormat="1" x14ac:dyDescent="0.3">
      <c r="A155" s="666"/>
      <c r="B155" s="660"/>
      <c r="C155" s="660"/>
      <c r="D155" s="660"/>
      <c r="E155" s="660"/>
      <c r="F155" s="670"/>
      <c r="G155" s="673"/>
      <c r="H155" s="675"/>
      <c r="I155" s="677"/>
      <c r="J155" s="680"/>
      <c r="K155" s="683"/>
      <c r="L155" s="660"/>
      <c r="M155" s="660"/>
      <c r="N155" s="247">
        <v>45777</v>
      </c>
      <c r="O155" s="670"/>
      <c r="P155" s="248">
        <v>16229.26</v>
      </c>
      <c r="Q155" s="249">
        <v>45798</v>
      </c>
      <c r="R155" s="250"/>
      <c r="S155" s="248"/>
      <c r="T155" s="248"/>
      <c r="U155" s="675"/>
      <c r="V155" s="663"/>
      <c r="W155" s="668"/>
      <c r="X155" s="2">
        <v>47</v>
      </c>
    </row>
    <row r="156" spans="1:24" s="2" customFormat="1" x14ac:dyDescent="0.3">
      <c r="A156" s="666"/>
      <c r="B156" s="660"/>
      <c r="C156" s="660"/>
      <c r="D156" s="660"/>
      <c r="E156" s="660"/>
      <c r="F156" s="670"/>
      <c r="G156" s="673"/>
      <c r="H156" s="675"/>
      <c r="I156" s="677"/>
      <c r="J156" s="680"/>
      <c r="K156" s="683"/>
      <c r="L156" s="660"/>
      <c r="M156" s="660"/>
      <c r="N156" s="247">
        <v>45777</v>
      </c>
      <c r="O156" s="670"/>
      <c r="P156" s="248">
        <v>8511.6</v>
      </c>
      <c r="Q156" s="249">
        <v>45798</v>
      </c>
      <c r="R156" s="250"/>
      <c r="S156" s="248"/>
      <c r="T156" s="248"/>
      <c r="U156" s="675"/>
      <c r="V156" s="663"/>
      <c r="W156" s="668"/>
      <c r="X156" s="2">
        <v>47</v>
      </c>
    </row>
    <row r="157" spans="1:24" s="2" customFormat="1" x14ac:dyDescent="0.3">
      <c r="A157" s="666"/>
      <c r="B157" s="660"/>
      <c r="C157" s="660"/>
      <c r="D157" s="660"/>
      <c r="E157" s="660"/>
      <c r="F157" s="670"/>
      <c r="G157" s="673"/>
      <c r="H157" s="675"/>
      <c r="I157" s="677"/>
      <c r="J157" s="680"/>
      <c r="K157" s="683"/>
      <c r="L157" s="660"/>
      <c r="M157" s="660"/>
      <c r="N157" s="247">
        <v>45777</v>
      </c>
      <c r="O157" s="670"/>
      <c r="P157" s="248">
        <v>2870</v>
      </c>
      <c r="Q157" s="249">
        <v>45798</v>
      </c>
      <c r="R157" s="250"/>
      <c r="S157" s="248"/>
      <c r="T157" s="248"/>
      <c r="U157" s="675"/>
      <c r="V157" s="663"/>
      <c r="W157" s="668"/>
      <c r="X157" s="2">
        <v>47</v>
      </c>
    </row>
    <row r="158" spans="1:24" s="2" customFormat="1" x14ac:dyDescent="0.3">
      <c r="A158" s="666"/>
      <c r="B158" s="660"/>
      <c r="C158" s="660"/>
      <c r="D158" s="660"/>
      <c r="E158" s="660"/>
      <c r="F158" s="670"/>
      <c r="G158" s="673"/>
      <c r="H158" s="675"/>
      <c r="I158" s="677"/>
      <c r="J158" s="680"/>
      <c r="K158" s="683"/>
      <c r="L158" s="660"/>
      <c r="M158" s="660"/>
      <c r="N158" s="247">
        <v>45777</v>
      </c>
      <c r="O158" s="670"/>
      <c r="P158" s="248">
        <v>12145</v>
      </c>
      <c r="Q158" s="249">
        <v>45798</v>
      </c>
      <c r="R158" s="250"/>
      <c r="S158" s="248"/>
      <c r="T158" s="248"/>
      <c r="U158" s="675"/>
      <c r="V158" s="663"/>
      <c r="W158" s="668"/>
      <c r="X158" s="2">
        <v>47</v>
      </c>
    </row>
    <row r="159" spans="1:24" s="2" customFormat="1" x14ac:dyDescent="0.3">
      <c r="A159" s="667"/>
      <c r="B159" s="661"/>
      <c r="C159" s="661"/>
      <c r="D159" s="661"/>
      <c r="E159" s="661"/>
      <c r="F159" s="671"/>
      <c r="G159" s="674"/>
      <c r="H159" s="676"/>
      <c r="I159" s="678"/>
      <c r="J159" s="681"/>
      <c r="K159" s="684"/>
      <c r="L159" s="661"/>
      <c r="M159" s="661"/>
      <c r="N159" s="251">
        <v>45777</v>
      </c>
      <c r="O159" s="671"/>
      <c r="P159" s="252">
        <v>19835.54</v>
      </c>
      <c r="Q159" s="253">
        <v>45798</v>
      </c>
      <c r="R159" s="254"/>
      <c r="S159" s="252"/>
      <c r="T159" s="252"/>
      <c r="U159" s="676"/>
      <c r="V159" s="664"/>
      <c r="W159" s="669"/>
      <c r="X159" s="2">
        <v>47</v>
      </c>
    </row>
    <row r="160" spans="1:24" s="106" customFormat="1" ht="90" customHeight="1" x14ac:dyDescent="0.3">
      <c r="A160" s="666">
        <v>30</v>
      </c>
      <c r="B160" s="660" t="s">
        <v>56</v>
      </c>
      <c r="C160" s="660" t="s">
        <v>277</v>
      </c>
      <c r="D160" s="660" t="s">
        <v>147</v>
      </c>
      <c r="E160" s="660" t="s">
        <v>135</v>
      </c>
      <c r="F160" s="670">
        <v>45748</v>
      </c>
      <c r="G160" s="673" t="s">
        <v>276</v>
      </c>
      <c r="H160" s="675">
        <v>37730</v>
      </c>
      <c r="I160" s="677">
        <f>IF(X160 = 48, H160 + SUM(S160:S163) - SUM(T160:T163) - SUM(P160:P163) - V160,0)</f>
        <v>8778</v>
      </c>
      <c r="J160" s="680">
        <v>2353020735</v>
      </c>
      <c r="K160" s="683" t="s">
        <v>156</v>
      </c>
      <c r="L160" s="660" t="s">
        <v>146</v>
      </c>
      <c r="M160" s="660"/>
      <c r="N160" s="255">
        <v>45800</v>
      </c>
      <c r="O160" s="670" t="s">
        <v>183</v>
      </c>
      <c r="P160" s="256">
        <v>8377.6</v>
      </c>
      <c r="Q160" s="257">
        <v>45813</v>
      </c>
      <c r="R160" s="258"/>
      <c r="S160" s="256"/>
      <c r="T160" s="256"/>
      <c r="U160" s="675"/>
      <c r="V160" s="663"/>
      <c r="W160" s="668"/>
      <c r="X160" s="106">
        <v>48</v>
      </c>
    </row>
    <row r="161" spans="1:24" s="2" customFormat="1" x14ac:dyDescent="0.3">
      <c r="A161" s="666"/>
      <c r="B161" s="660"/>
      <c r="C161" s="660"/>
      <c r="D161" s="660"/>
      <c r="E161" s="660"/>
      <c r="F161" s="670"/>
      <c r="G161" s="673"/>
      <c r="H161" s="675"/>
      <c r="I161" s="677"/>
      <c r="J161" s="680"/>
      <c r="K161" s="683"/>
      <c r="L161" s="660"/>
      <c r="M161" s="660"/>
      <c r="N161" s="247">
        <v>45800</v>
      </c>
      <c r="O161" s="670"/>
      <c r="P161" s="248">
        <v>2094.4</v>
      </c>
      <c r="Q161" s="249">
        <v>45813</v>
      </c>
      <c r="R161" s="250"/>
      <c r="S161" s="248"/>
      <c r="T161" s="248"/>
      <c r="U161" s="675"/>
      <c r="V161" s="663"/>
      <c r="W161" s="668"/>
      <c r="X161" s="2">
        <v>48</v>
      </c>
    </row>
    <row r="162" spans="1:24" s="2" customFormat="1" x14ac:dyDescent="0.3">
      <c r="A162" s="666"/>
      <c r="B162" s="660"/>
      <c r="C162" s="660"/>
      <c r="D162" s="660"/>
      <c r="E162" s="660"/>
      <c r="F162" s="670"/>
      <c r="G162" s="673"/>
      <c r="H162" s="675"/>
      <c r="I162" s="677"/>
      <c r="J162" s="680"/>
      <c r="K162" s="683"/>
      <c r="L162" s="660"/>
      <c r="M162" s="660"/>
      <c r="N162" s="247">
        <v>45777</v>
      </c>
      <c r="O162" s="670"/>
      <c r="P162" s="248">
        <v>3696</v>
      </c>
      <c r="Q162" s="249">
        <v>45798</v>
      </c>
      <c r="R162" s="250"/>
      <c r="S162" s="248"/>
      <c r="T162" s="248"/>
      <c r="U162" s="675"/>
      <c r="V162" s="663"/>
      <c r="W162" s="668"/>
      <c r="X162" s="2">
        <v>48</v>
      </c>
    </row>
    <row r="163" spans="1:24" s="2" customFormat="1" x14ac:dyDescent="0.3">
      <c r="A163" s="521"/>
      <c r="B163" s="527"/>
      <c r="C163" s="527"/>
      <c r="D163" s="527"/>
      <c r="E163" s="527"/>
      <c r="F163" s="523"/>
      <c r="G163" s="685"/>
      <c r="H163" s="525"/>
      <c r="I163" s="535"/>
      <c r="J163" s="686"/>
      <c r="K163" s="687"/>
      <c r="L163" s="527"/>
      <c r="M163" s="527"/>
      <c r="N163" s="244">
        <v>45777</v>
      </c>
      <c r="O163" s="523"/>
      <c r="P163" s="240">
        <v>14784</v>
      </c>
      <c r="Q163" s="241">
        <v>45433</v>
      </c>
      <c r="R163" s="242"/>
      <c r="S163" s="240"/>
      <c r="T163" s="240"/>
      <c r="U163" s="525"/>
      <c r="V163" s="665"/>
      <c r="W163" s="539"/>
      <c r="X163" s="2">
        <v>48</v>
      </c>
    </row>
    <row r="164" spans="1:24" s="106" customFormat="1" ht="108" x14ac:dyDescent="0.3">
      <c r="A164" s="218">
        <v>31</v>
      </c>
      <c r="B164" s="214" t="s">
        <v>56</v>
      </c>
      <c r="C164" s="214" t="s">
        <v>146</v>
      </c>
      <c r="D164" s="214" t="s">
        <v>147</v>
      </c>
      <c r="E164" s="214" t="s">
        <v>281</v>
      </c>
      <c r="F164" s="225">
        <v>45783</v>
      </c>
      <c r="G164" s="219" t="s">
        <v>282</v>
      </c>
      <c r="H164" s="220">
        <v>21340</v>
      </c>
      <c r="I164" s="221">
        <f>IF(X164 = 49, H164 + SUM(S164:S164) - SUM(T164:T164) - SUM(P164:P164) - V164,0)</f>
        <v>0</v>
      </c>
      <c r="J164" s="222">
        <v>235000239811</v>
      </c>
      <c r="K164" s="223" t="s">
        <v>238</v>
      </c>
      <c r="L164" s="214" t="s">
        <v>146</v>
      </c>
      <c r="M164" s="214"/>
      <c r="N164" s="225">
        <v>45784</v>
      </c>
      <c r="O164" s="225" t="s">
        <v>183</v>
      </c>
      <c r="P164" s="220">
        <v>21340</v>
      </c>
      <c r="Q164" s="219">
        <v>45790</v>
      </c>
      <c r="R164" s="214"/>
      <c r="S164" s="220"/>
      <c r="T164" s="220"/>
      <c r="U164" s="220"/>
      <c r="V164" s="224"/>
      <c r="W164" s="210"/>
      <c r="X164" s="106">
        <v>49</v>
      </c>
    </row>
    <row r="165" spans="1:24" s="106" customFormat="1" ht="108" x14ac:dyDescent="0.3">
      <c r="A165" s="218">
        <v>32</v>
      </c>
      <c r="B165" s="214" t="s">
        <v>56</v>
      </c>
      <c r="C165" s="214" t="s">
        <v>146</v>
      </c>
      <c r="D165" s="214" t="s">
        <v>147</v>
      </c>
      <c r="E165" s="214" t="s">
        <v>284</v>
      </c>
      <c r="F165" s="225">
        <v>45783</v>
      </c>
      <c r="G165" s="219" t="s">
        <v>283</v>
      </c>
      <c r="H165" s="220">
        <v>4800</v>
      </c>
      <c r="I165" s="221">
        <f>IF(X165 = 50, H165 + SUM(S165:S165) - SUM(T165:T165) - SUM(P165:P165) - V165,0)</f>
        <v>0</v>
      </c>
      <c r="J165" s="222">
        <v>235305769122</v>
      </c>
      <c r="K165" s="223" t="s">
        <v>159</v>
      </c>
      <c r="L165" s="214" t="s">
        <v>146</v>
      </c>
      <c r="M165" s="214"/>
      <c r="N165" s="225">
        <v>45783</v>
      </c>
      <c r="O165" s="225" t="s">
        <v>183</v>
      </c>
      <c r="P165" s="220">
        <v>4800</v>
      </c>
      <c r="Q165" s="219">
        <v>45789</v>
      </c>
      <c r="R165" s="214"/>
      <c r="S165" s="220"/>
      <c r="T165" s="220"/>
      <c r="U165" s="220"/>
      <c r="V165" s="224"/>
      <c r="W165" s="210"/>
      <c r="X165" s="106">
        <v>50</v>
      </c>
    </row>
    <row r="166" spans="1:24" s="106" customFormat="1" ht="108" x14ac:dyDescent="0.3">
      <c r="A166" s="218">
        <v>33</v>
      </c>
      <c r="B166" s="214" t="s">
        <v>56</v>
      </c>
      <c r="C166" s="214" t="s">
        <v>146</v>
      </c>
      <c r="D166" s="214" t="s">
        <v>147</v>
      </c>
      <c r="E166" s="214" t="s">
        <v>292</v>
      </c>
      <c r="F166" s="225">
        <v>45789</v>
      </c>
      <c r="G166" s="219" t="s">
        <v>191</v>
      </c>
      <c r="H166" s="220">
        <v>2000</v>
      </c>
      <c r="I166" s="221">
        <f>IF(X166 = 51, H166 + SUM(S166:S166) - SUM(T166:T166) - SUM(P166:P166) - V166,0)</f>
        <v>0</v>
      </c>
      <c r="J166" s="222">
        <v>235303483777</v>
      </c>
      <c r="K166" s="223" t="s">
        <v>210</v>
      </c>
      <c r="L166" s="214" t="s">
        <v>146</v>
      </c>
      <c r="M166" s="214"/>
      <c r="N166" s="225">
        <v>45789</v>
      </c>
      <c r="O166" s="225" t="s">
        <v>183</v>
      </c>
      <c r="P166" s="220">
        <v>2000</v>
      </c>
      <c r="Q166" s="219">
        <v>45792</v>
      </c>
      <c r="R166" s="214"/>
      <c r="S166" s="220"/>
      <c r="T166" s="220"/>
      <c r="U166" s="220"/>
      <c r="V166" s="224"/>
      <c r="W166" s="210"/>
      <c r="X166" s="106">
        <v>51</v>
      </c>
    </row>
    <row r="167" spans="1:24" s="106" customFormat="1" ht="108" x14ac:dyDescent="0.3">
      <c r="A167" s="218">
        <v>34</v>
      </c>
      <c r="B167" s="214" t="s">
        <v>56</v>
      </c>
      <c r="C167" s="214" t="s">
        <v>146</v>
      </c>
      <c r="D167" s="214" t="s">
        <v>147</v>
      </c>
      <c r="E167" s="214" t="s">
        <v>297</v>
      </c>
      <c r="F167" s="225">
        <v>45791</v>
      </c>
      <c r="G167" s="219" t="s">
        <v>191</v>
      </c>
      <c r="H167" s="220">
        <v>2800</v>
      </c>
      <c r="I167" s="221">
        <f>IF(X167 = 52, H167 + SUM(S167:S167) - SUM(T167:T167) - SUM(P167:P167) - V167,0)</f>
        <v>0</v>
      </c>
      <c r="J167" s="222">
        <v>235303483777</v>
      </c>
      <c r="K167" s="223" t="s">
        <v>210</v>
      </c>
      <c r="L167" s="214" t="s">
        <v>146</v>
      </c>
      <c r="M167" s="214"/>
      <c r="N167" s="225">
        <v>45791</v>
      </c>
      <c r="O167" s="225" t="s">
        <v>183</v>
      </c>
      <c r="P167" s="220">
        <v>2800</v>
      </c>
      <c r="Q167" s="219">
        <v>45792</v>
      </c>
      <c r="R167" s="214"/>
      <c r="S167" s="220"/>
      <c r="T167" s="220"/>
      <c r="U167" s="220"/>
      <c r="V167" s="224"/>
      <c r="W167" s="210"/>
      <c r="X167" s="106">
        <v>52</v>
      </c>
    </row>
    <row r="168" spans="1:24" s="106" customFormat="1" ht="108" x14ac:dyDescent="0.3">
      <c r="A168" s="218">
        <v>35</v>
      </c>
      <c r="B168" s="216" t="s">
        <v>56</v>
      </c>
      <c r="C168" s="216" t="s">
        <v>146</v>
      </c>
      <c r="D168" s="216" t="s">
        <v>147</v>
      </c>
      <c r="E168" s="216" t="s">
        <v>302</v>
      </c>
      <c r="F168" s="234">
        <v>45812</v>
      </c>
      <c r="G168" s="219" t="s">
        <v>191</v>
      </c>
      <c r="H168" s="220">
        <v>14500</v>
      </c>
      <c r="I168" s="221">
        <f>IF(X168 = 53, H168 + SUM(S168:S168) - SUM(T168:T168) - SUM(P168:P168) - V168,0)</f>
        <v>0</v>
      </c>
      <c r="J168" s="222">
        <v>235303483777</v>
      </c>
      <c r="K168" s="223" t="s">
        <v>210</v>
      </c>
      <c r="L168" s="216" t="s">
        <v>146</v>
      </c>
      <c r="M168" s="216"/>
      <c r="N168" s="234">
        <v>45812</v>
      </c>
      <c r="O168" s="225" t="s">
        <v>183</v>
      </c>
      <c r="P168" s="220">
        <v>14500</v>
      </c>
      <c r="Q168" s="219">
        <v>45818</v>
      </c>
      <c r="R168" s="216"/>
      <c r="S168" s="220"/>
      <c r="T168" s="220"/>
      <c r="U168" s="220"/>
      <c r="V168" s="224"/>
      <c r="W168" s="217"/>
      <c r="X168" s="106">
        <v>53</v>
      </c>
    </row>
    <row r="169" spans="1:24" s="106" customFormat="1" ht="108" x14ac:dyDescent="0.3">
      <c r="A169" s="218">
        <v>36</v>
      </c>
      <c r="B169" s="216" t="s">
        <v>56</v>
      </c>
      <c r="C169" s="216" t="s">
        <v>146</v>
      </c>
      <c r="D169" s="216" t="s">
        <v>147</v>
      </c>
      <c r="E169" s="216" t="s">
        <v>303</v>
      </c>
      <c r="F169" s="234">
        <v>45799</v>
      </c>
      <c r="G169" s="219" t="s">
        <v>191</v>
      </c>
      <c r="H169" s="220">
        <v>8800</v>
      </c>
      <c r="I169" s="221">
        <f>IF(X169 = 54, H169 + SUM(S169:S169) - SUM(T169:T169) - SUM(P169:P169) - V169,0)</f>
        <v>0</v>
      </c>
      <c r="J169" s="222">
        <v>235303483777</v>
      </c>
      <c r="K169" s="223" t="s">
        <v>210</v>
      </c>
      <c r="L169" s="216" t="s">
        <v>146</v>
      </c>
      <c r="M169" s="216"/>
      <c r="N169" s="234">
        <v>45799</v>
      </c>
      <c r="O169" s="225" t="s">
        <v>183</v>
      </c>
      <c r="P169" s="220">
        <v>8800</v>
      </c>
      <c r="Q169" s="219">
        <v>45806</v>
      </c>
      <c r="R169" s="216"/>
      <c r="S169" s="220"/>
      <c r="T169" s="220"/>
      <c r="U169" s="220"/>
      <c r="V169" s="224"/>
      <c r="W169" s="217"/>
      <c r="X169" s="106">
        <v>54</v>
      </c>
    </row>
    <row r="170" spans="1:24" s="106" customFormat="1" ht="108" x14ac:dyDescent="0.3">
      <c r="A170" s="280">
        <v>37</v>
      </c>
      <c r="B170" s="281" t="s">
        <v>56</v>
      </c>
      <c r="C170" s="281" t="s">
        <v>146</v>
      </c>
      <c r="D170" s="281" t="s">
        <v>147</v>
      </c>
      <c r="E170" s="281" t="s">
        <v>341</v>
      </c>
      <c r="F170" s="289">
        <v>45782</v>
      </c>
      <c r="G170" s="282" t="s">
        <v>342</v>
      </c>
      <c r="H170" s="283">
        <v>9000</v>
      </c>
      <c r="I170" s="284">
        <f>IF(X170 = 55, H170 + SUM(S170:S170) - SUM(T170:T170) - SUM(P170:P170) - V170,0)</f>
        <v>0</v>
      </c>
      <c r="J170" s="285">
        <v>2369980106</v>
      </c>
      <c r="K170" s="286" t="s">
        <v>353</v>
      </c>
      <c r="L170" s="281" t="s">
        <v>146</v>
      </c>
      <c r="M170" s="281"/>
      <c r="N170" s="289"/>
      <c r="O170" s="289" t="s">
        <v>183</v>
      </c>
      <c r="P170" s="283">
        <v>9000</v>
      </c>
      <c r="Q170" s="282">
        <v>45846</v>
      </c>
      <c r="R170" s="281"/>
      <c r="S170" s="283"/>
      <c r="T170" s="283"/>
      <c r="U170" s="283"/>
      <c r="V170" s="287"/>
      <c r="W170" s="288"/>
      <c r="X170" s="106">
        <v>55</v>
      </c>
    </row>
    <row r="171" spans="1:24" s="106" customFormat="1" ht="90" customHeight="1" x14ac:dyDescent="0.3">
      <c r="A171" s="552">
        <v>38</v>
      </c>
      <c r="B171" s="558" t="s">
        <v>56</v>
      </c>
      <c r="C171" s="558" t="s">
        <v>146</v>
      </c>
      <c r="D171" s="558" t="s">
        <v>147</v>
      </c>
      <c r="E171" s="558" t="s">
        <v>343</v>
      </c>
      <c r="F171" s="554">
        <v>45847</v>
      </c>
      <c r="G171" s="564" t="s">
        <v>344</v>
      </c>
      <c r="H171" s="556">
        <v>100000</v>
      </c>
      <c r="I171" s="566">
        <f>IF(X171 = 56, H171 + SUM(S171:S172) - SUM(T171:T172) - SUM(P171:P172) - V171,0)</f>
        <v>0</v>
      </c>
      <c r="J171" s="568">
        <v>235000239811</v>
      </c>
      <c r="K171" s="570" t="s">
        <v>238</v>
      </c>
      <c r="L171" s="558" t="s">
        <v>146</v>
      </c>
      <c r="M171" s="558"/>
      <c r="N171" s="325">
        <v>45847</v>
      </c>
      <c r="O171" s="554" t="s">
        <v>183</v>
      </c>
      <c r="P171" s="318">
        <v>4480</v>
      </c>
      <c r="Q171" s="319">
        <v>45848</v>
      </c>
      <c r="R171" s="320"/>
      <c r="S171" s="318"/>
      <c r="T171" s="318"/>
      <c r="U171" s="556"/>
      <c r="V171" s="560"/>
      <c r="W171" s="562"/>
      <c r="X171" s="106">
        <v>56</v>
      </c>
    </row>
    <row r="172" spans="1:24" s="2" customFormat="1" x14ac:dyDescent="0.3">
      <c r="A172" s="553"/>
      <c r="B172" s="559"/>
      <c r="C172" s="559"/>
      <c r="D172" s="559"/>
      <c r="E172" s="559"/>
      <c r="F172" s="555"/>
      <c r="G172" s="565"/>
      <c r="H172" s="557"/>
      <c r="I172" s="567"/>
      <c r="J172" s="569"/>
      <c r="K172" s="571"/>
      <c r="L172" s="559"/>
      <c r="M172" s="559"/>
      <c r="N172" s="326">
        <v>45847</v>
      </c>
      <c r="O172" s="555"/>
      <c r="P172" s="321">
        <v>95520</v>
      </c>
      <c r="Q172" s="322">
        <v>45848</v>
      </c>
      <c r="R172" s="323"/>
      <c r="S172" s="321"/>
      <c r="T172" s="321"/>
      <c r="U172" s="557"/>
      <c r="V172" s="561"/>
      <c r="W172" s="563"/>
      <c r="X172" s="2">
        <v>56</v>
      </c>
    </row>
    <row r="173" spans="1:24" s="106" customFormat="1" ht="108" x14ac:dyDescent="0.3">
      <c r="A173" s="327">
        <v>39</v>
      </c>
      <c r="B173" s="328" t="s">
        <v>56</v>
      </c>
      <c r="C173" s="328" t="s">
        <v>146</v>
      </c>
      <c r="D173" s="328" t="s">
        <v>147</v>
      </c>
      <c r="E173" s="328" t="s">
        <v>354</v>
      </c>
      <c r="F173" s="333">
        <v>45769</v>
      </c>
      <c r="G173" s="329" t="s">
        <v>355</v>
      </c>
      <c r="H173" s="330">
        <v>36745.5</v>
      </c>
      <c r="I173" s="331">
        <f>IF(X173 = 57, H173 + SUM(S173:S173) - SUM(T173:T173) - SUM(P173:P173) - V173,0)</f>
        <v>0</v>
      </c>
      <c r="J173" s="337">
        <v>7715995942</v>
      </c>
      <c r="K173" s="338" t="s">
        <v>221</v>
      </c>
      <c r="L173" s="328" t="s">
        <v>146</v>
      </c>
      <c r="M173" s="328"/>
      <c r="N173" s="333">
        <v>45864</v>
      </c>
      <c r="O173" s="333" t="s">
        <v>183</v>
      </c>
      <c r="P173" s="330">
        <v>36745.5</v>
      </c>
      <c r="Q173" s="329">
        <v>45883</v>
      </c>
      <c r="R173" s="328"/>
      <c r="S173" s="330"/>
      <c r="T173" s="330"/>
      <c r="U173" s="330"/>
      <c r="V173" s="332"/>
      <c r="W173" s="324"/>
      <c r="X173" s="106">
        <v>57</v>
      </c>
    </row>
    <row r="174" spans="1:24" s="106" customFormat="1" ht="108" x14ac:dyDescent="0.3">
      <c r="A174" s="327">
        <v>40</v>
      </c>
      <c r="B174" s="328" t="s">
        <v>56</v>
      </c>
      <c r="C174" s="328" t="s">
        <v>146</v>
      </c>
      <c r="D174" s="328" t="s">
        <v>147</v>
      </c>
      <c r="E174" s="328" t="s">
        <v>317</v>
      </c>
      <c r="F174" s="336">
        <v>45853</v>
      </c>
      <c r="G174" s="329" t="s">
        <v>360</v>
      </c>
      <c r="H174" s="330">
        <v>87644.41</v>
      </c>
      <c r="I174" s="339">
        <f>IF(X174 = 58, H174 + SUM(S174:S174) - SUM(T174:T174) - SUM(P174:P174) - V174,0)</f>
        <v>0</v>
      </c>
      <c r="J174" s="341">
        <v>2353021249</v>
      </c>
      <c r="K174" s="340" t="s">
        <v>361</v>
      </c>
      <c r="L174" s="328" t="s">
        <v>146</v>
      </c>
      <c r="M174" s="328"/>
      <c r="N174" s="336">
        <v>45859</v>
      </c>
      <c r="O174" s="336" t="s">
        <v>183</v>
      </c>
      <c r="P174" s="330">
        <v>87644.41</v>
      </c>
      <c r="Q174" s="329">
        <v>45869</v>
      </c>
      <c r="R174" s="328"/>
      <c r="S174" s="330"/>
      <c r="T174" s="330"/>
      <c r="U174" s="330"/>
      <c r="V174" s="332"/>
      <c r="W174" s="335"/>
      <c r="X174" s="106">
        <v>58</v>
      </c>
    </row>
    <row r="175" spans="1:24" s="106" customFormat="1" ht="108" x14ac:dyDescent="0.3">
      <c r="A175" s="342">
        <v>41</v>
      </c>
      <c r="B175" s="343" t="s">
        <v>56</v>
      </c>
      <c r="C175" s="343" t="s">
        <v>146</v>
      </c>
      <c r="D175" s="343" t="s">
        <v>147</v>
      </c>
      <c r="E175" s="343" t="s">
        <v>362</v>
      </c>
      <c r="F175" s="360">
        <v>45826</v>
      </c>
      <c r="G175" s="344" t="s">
        <v>355</v>
      </c>
      <c r="H175" s="345">
        <v>8498.6</v>
      </c>
      <c r="I175" s="346">
        <f>IF(X175 = 59, H175 + SUM(S175:S175) - SUM(T175:T175) - SUM(P175:P175) - V175,0)</f>
        <v>0</v>
      </c>
      <c r="J175" s="347">
        <v>7715995942</v>
      </c>
      <c r="K175" s="348" t="s">
        <v>221</v>
      </c>
      <c r="L175" s="343" t="s">
        <v>146</v>
      </c>
      <c r="M175" s="343"/>
      <c r="N175" s="360">
        <v>45882</v>
      </c>
      <c r="O175" s="360" t="s">
        <v>363</v>
      </c>
      <c r="P175" s="345">
        <v>8498.6</v>
      </c>
      <c r="Q175" s="344">
        <v>45896</v>
      </c>
      <c r="R175" s="343"/>
      <c r="S175" s="345"/>
      <c r="T175" s="345"/>
      <c r="U175" s="345"/>
      <c r="V175" s="349"/>
      <c r="W175" s="350"/>
      <c r="X175" s="106">
        <v>59</v>
      </c>
    </row>
    <row r="176" spans="1:24" s="106" customFormat="1" ht="108" x14ac:dyDescent="0.3">
      <c r="A176" s="351">
        <v>42</v>
      </c>
      <c r="B176" s="353" t="s">
        <v>56</v>
      </c>
      <c r="C176" s="353" t="s">
        <v>277</v>
      </c>
      <c r="D176" s="353" t="s">
        <v>147</v>
      </c>
      <c r="E176" s="353" t="s">
        <v>317</v>
      </c>
      <c r="F176" s="372">
        <v>45888</v>
      </c>
      <c r="G176" s="356" t="s">
        <v>372</v>
      </c>
      <c r="H176" s="352">
        <v>33000</v>
      </c>
      <c r="I176" s="357">
        <f>IF(X176 = 60, H176 + SUM(S176:S176) - SUM(T176:T176) - SUM(P176:P176) - V176,0)</f>
        <v>0</v>
      </c>
      <c r="J176" s="358">
        <v>2353016418</v>
      </c>
      <c r="K176" s="359" t="s">
        <v>373</v>
      </c>
      <c r="L176" s="353" t="s">
        <v>146</v>
      </c>
      <c r="M176" s="353"/>
      <c r="N176" s="372">
        <v>45895</v>
      </c>
      <c r="O176" s="372" t="s">
        <v>183</v>
      </c>
      <c r="P176" s="352">
        <v>33000</v>
      </c>
      <c r="Q176" s="356">
        <v>45896</v>
      </c>
      <c r="R176" s="353"/>
      <c r="S176" s="352"/>
      <c r="T176" s="352"/>
      <c r="U176" s="352"/>
      <c r="V176" s="354"/>
      <c r="W176" s="355"/>
      <c r="X176" s="106">
        <v>60</v>
      </c>
    </row>
    <row r="177" spans="1:24" s="106" customFormat="1" ht="108" x14ac:dyDescent="0.3">
      <c r="A177" s="351">
        <v>43</v>
      </c>
      <c r="B177" s="353" t="s">
        <v>56</v>
      </c>
      <c r="C177" s="353" t="s">
        <v>146</v>
      </c>
      <c r="D177" s="353" t="s">
        <v>147</v>
      </c>
      <c r="E177" s="353" t="s">
        <v>374</v>
      </c>
      <c r="F177" s="372">
        <v>45803</v>
      </c>
      <c r="G177" s="356" t="s">
        <v>191</v>
      </c>
      <c r="H177" s="352">
        <v>17680</v>
      </c>
      <c r="I177" s="357">
        <f>IF(X177 = 61, H177 + SUM(S177:S177) - SUM(T177:T177) - SUM(P177:P177) - V177,0)</f>
        <v>17680</v>
      </c>
      <c r="J177" s="358">
        <v>235303483777</v>
      </c>
      <c r="K177" s="359" t="s">
        <v>210</v>
      </c>
      <c r="L177" s="353" t="s">
        <v>146</v>
      </c>
      <c r="M177" s="353"/>
      <c r="N177" s="372"/>
      <c r="O177" s="372" t="s">
        <v>363</v>
      </c>
      <c r="P177" s="352"/>
      <c r="Q177" s="356"/>
      <c r="R177" s="353"/>
      <c r="S177" s="352"/>
      <c r="T177" s="352"/>
      <c r="U177" s="352"/>
      <c r="V177" s="354"/>
      <c r="W177" s="355"/>
      <c r="X177" s="106">
        <v>61</v>
      </c>
    </row>
    <row r="178" spans="1:24" s="106" customFormat="1" ht="36" x14ac:dyDescent="0.3">
      <c r="A178" s="363">
        <v>44</v>
      </c>
      <c r="B178" s="365" t="s">
        <v>56</v>
      </c>
      <c r="C178" s="365" t="s">
        <v>146</v>
      </c>
      <c r="D178" s="365" t="s">
        <v>147</v>
      </c>
      <c r="E178" s="365" t="s">
        <v>171</v>
      </c>
      <c r="F178" s="397">
        <v>45898</v>
      </c>
      <c r="G178" s="368" t="s">
        <v>375</v>
      </c>
      <c r="H178" s="364">
        <v>250000</v>
      </c>
      <c r="I178" s="369">
        <f>IF(X178 = 62, H178 + SUM(S178:S178) - SUM(T178:T178) - SUM(P178:P178) - V178,0)</f>
        <v>250000</v>
      </c>
      <c r="J178" s="370">
        <v>2308119595</v>
      </c>
      <c r="K178" s="371" t="s">
        <v>149</v>
      </c>
      <c r="L178" s="365" t="s">
        <v>146</v>
      </c>
      <c r="M178" s="365"/>
      <c r="N178" s="397"/>
      <c r="O178" s="397" t="s">
        <v>168</v>
      </c>
      <c r="P178" s="364"/>
      <c r="Q178" s="368"/>
      <c r="R178" s="365"/>
      <c r="S178" s="364"/>
      <c r="T178" s="364"/>
      <c r="U178" s="364"/>
      <c r="V178" s="366"/>
      <c r="W178" s="367"/>
      <c r="X178" s="106">
        <v>62</v>
      </c>
    </row>
    <row r="179" spans="1:24" x14ac:dyDescent="0.3">
      <c r="B179" s="107"/>
      <c r="X179" s="8">
        <v>63</v>
      </c>
    </row>
    <row r="180" spans="1:24" x14ac:dyDescent="0.3">
      <c r="B180" s="107"/>
    </row>
    <row r="181" spans="1:24" x14ac:dyDescent="0.3">
      <c r="B181" s="107"/>
    </row>
    <row r="182" spans="1:24" x14ac:dyDescent="0.3">
      <c r="B182" s="107"/>
      <c r="E182" s="45"/>
    </row>
  </sheetData>
  <sheetProtection password="EB34" sheet="1" objects="1" scenarios="1" formatCells="0" formatColumns="0" formatRows="0"/>
  <mergeCells count="394">
    <mergeCell ref="W148:W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M148:M149"/>
    <mergeCell ref="W146:W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A160:A163"/>
    <mergeCell ref="O160:O163"/>
    <mergeCell ref="U160:U163"/>
    <mergeCell ref="B160:B163"/>
    <mergeCell ref="V160:V163"/>
    <mergeCell ref="C160:C163"/>
    <mergeCell ref="W160:W163"/>
    <mergeCell ref="D160:D163"/>
    <mergeCell ref="E160:E163"/>
    <mergeCell ref="F160:F163"/>
    <mergeCell ref="G160:G163"/>
    <mergeCell ref="H160:H163"/>
    <mergeCell ref="I160:I163"/>
    <mergeCell ref="J160:J163"/>
    <mergeCell ref="K160:K163"/>
    <mergeCell ref="L160:L163"/>
    <mergeCell ref="M160:M163"/>
    <mergeCell ref="W150:W159"/>
    <mergeCell ref="D150:D159"/>
    <mergeCell ref="E150:E159"/>
    <mergeCell ref="F150:F159"/>
    <mergeCell ref="G150:G159"/>
    <mergeCell ref="H150:H159"/>
    <mergeCell ref="I150:I159"/>
    <mergeCell ref="J150:J159"/>
    <mergeCell ref="K150:K159"/>
    <mergeCell ref="L150:L159"/>
    <mergeCell ref="M150:M159"/>
    <mergeCell ref="O150:O159"/>
    <mergeCell ref="U150:U159"/>
    <mergeCell ref="B150:B159"/>
    <mergeCell ref="V150:V159"/>
    <mergeCell ref="C150:C159"/>
    <mergeCell ref="A146:A147"/>
    <mergeCell ref="O146:O147"/>
    <mergeCell ref="U146:U147"/>
    <mergeCell ref="B146:B147"/>
    <mergeCell ref="V146:V147"/>
    <mergeCell ref="C146:C147"/>
    <mergeCell ref="O148:O149"/>
    <mergeCell ref="U148:U149"/>
    <mergeCell ref="B148:B149"/>
    <mergeCell ref="V148:V149"/>
    <mergeCell ref="C148:C149"/>
    <mergeCell ref="A150:A159"/>
    <mergeCell ref="A148:A149"/>
    <mergeCell ref="M123:M128"/>
    <mergeCell ref="D123:D128"/>
    <mergeCell ref="E123:E128"/>
    <mergeCell ref="F123:F128"/>
    <mergeCell ref="L123:L128"/>
    <mergeCell ref="V123:V128"/>
    <mergeCell ref="H120:H122"/>
    <mergeCell ref="I120:I122"/>
    <mergeCell ref="J120:J122"/>
    <mergeCell ref="K120:K122"/>
    <mergeCell ref="L120:L122"/>
    <mergeCell ref="M120:M122"/>
    <mergeCell ref="G123:G128"/>
    <mergeCell ref="W123:W128"/>
    <mergeCell ref="A123:A128"/>
    <mergeCell ref="O123:O128"/>
    <mergeCell ref="U123:U128"/>
    <mergeCell ref="B123:B128"/>
    <mergeCell ref="C123:C128"/>
    <mergeCell ref="A120:A122"/>
    <mergeCell ref="O120:O122"/>
    <mergeCell ref="A82:A84"/>
    <mergeCell ref="O82:O84"/>
    <mergeCell ref="C82:C84"/>
    <mergeCell ref="U120:U122"/>
    <mergeCell ref="B120:B122"/>
    <mergeCell ref="H123:H128"/>
    <mergeCell ref="I123:I128"/>
    <mergeCell ref="J123:J128"/>
    <mergeCell ref="K123:K128"/>
    <mergeCell ref="V120:V122"/>
    <mergeCell ref="C120:C122"/>
    <mergeCell ref="W120:W122"/>
    <mergeCell ref="D120:D122"/>
    <mergeCell ref="E120:E122"/>
    <mergeCell ref="F120:F122"/>
    <mergeCell ref="G120:G122"/>
    <mergeCell ref="W58:W59"/>
    <mergeCell ref="V67:V81"/>
    <mergeCell ref="W82:W84"/>
    <mergeCell ref="D82:D84"/>
    <mergeCell ref="E82:E84"/>
    <mergeCell ref="F82:F84"/>
    <mergeCell ref="G82:G84"/>
    <mergeCell ref="H82:H84"/>
    <mergeCell ref="I82:I84"/>
    <mergeCell ref="J82:J84"/>
    <mergeCell ref="K82:K84"/>
    <mergeCell ref="L82:L84"/>
    <mergeCell ref="M82:M84"/>
    <mergeCell ref="V82:V84"/>
    <mergeCell ref="W67:W81"/>
    <mergeCell ref="D67:D81"/>
    <mergeCell ref="E67:E81"/>
    <mergeCell ref="F67:F81"/>
    <mergeCell ref="G67:G81"/>
    <mergeCell ref="O67:O81"/>
    <mergeCell ref="U67:U81"/>
    <mergeCell ref="H67:H81"/>
    <mergeCell ref="I67:I81"/>
    <mergeCell ref="J67:J81"/>
    <mergeCell ref="A9:A11"/>
    <mergeCell ref="O9:O11"/>
    <mergeCell ref="U9:U11"/>
    <mergeCell ref="B9:B11"/>
    <mergeCell ref="V9:V11"/>
    <mergeCell ref="C9:C11"/>
    <mergeCell ref="W9:W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W129:W130"/>
    <mergeCell ref="D129:D130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M129:M130"/>
    <mergeCell ref="S2:U2"/>
    <mergeCell ref="F2:G2"/>
    <mergeCell ref="N2:O2"/>
    <mergeCell ref="U46:U50"/>
    <mergeCell ref="B46:B50"/>
    <mergeCell ref="C46:C50"/>
    <mergeCell ref="D46:D50"/>
    <mergeCell ref="E46:E50"/>
    <mergeCell ref="F46:F50"/>
    <mergeCell ref="G46:G50"/>
    <mergeCell ref="H46:H50"/>
    <mergeCell ref="I46:I50"/>
    <mergeCell ref="J46:J50"/>
    <mergeCell ref="K46:K50"/>
    <mergeCell ref="L46:L50"/>
    <mergeCell ref="M46:M50"/>
    <mergeCell ref="O46:O50"/>
    <mergeCell ref="W46:W50"/>
    <mergeCell ref="A133:A134"/>
    <mergeCell ref="O133:O134"/>
    <mergeCell ref="U133:U134"/>
    <mergeCell ref="B133:B134"/>
    <mergeCell ref="V133:V134"/>
    <mergeCell ref="C133:C134"/>
    <mergeCell ref="W133:W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A129:A130"/>
    <mergeCell ref="O129:O130"/>
    <mergeCell ref="U129:U130"/>
    <mergeCell ref="B129:B130"/>
    <mergeCell ref="V129:V130"/>
    <mergeCell ref="C129:C130"/>
    <mergeCell ref="V46:V50"/>
    <mergeCell ref="A58:A59"/>
    <mergeCell ref="O58:O59"/>
    <mergeCell ref="U58:U59"/>
    <mergeCell ref="B58:B59"/>
    <mergeCell ref="V58:V59"/>
    <mergeCell ref="C58:C59"/>
    <mergeCell ref="D58:D59"/>
    <mergeCell ref="E58:E59"/>
    <mergeCell ref="F58:F59"/>
    <mergeCell ref="G58:G59"/>
    <mergeCell ref="A46:A50"/>
    <mergeCell ref="H58:H59"/>
    <mergeCell ref="I58:I59"/>
    <mergeCell ref="J58:J59"/>
    <mergeCell ref="K58:K59"/>
    <mergeCell ref="L58:L59"/>
    <mergeCell ref="M58:M59"/>
    <mergeCell ref="A171:A172"/>
    <mergeCell ref="O171:O172"/>
    <mergeCell ref="U171:U172"/>
    <mergeCell ref="B171:B172"/>
    <mergeCell ref="V171:V172"/>
    <mergeCell ref="C171:C172"/>
    <mergeCell ref="W171:W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M171:M172"/>
    <mergeCell ref="A12:A18"/>
    <mergeCell ref="O12:O18"/>
    <mergeCell ref="U12:U18"/>
    <mergeCell ref="B12:B18"/>
    <mergeCell ref="V12:V18"/>
    <mergeCell ref="C12:C18"/>
    <mergeCell ref="W12:W18"/>
    <mergeCell ref="D12:D18"/>
    <mergeCell ref="E12:E18"/>
    <mergeCell ref="F12:F18"/>
    <mergeCell ref="G12:G18"/>
    <mergeCell ref="H12:H18"/>
    <mergeCell ref="I12:I18"/>
    <mergeCell ref="J12:J18"/>
    <mergeCell ref="K12:K18"/>
    <mergeCell ref="L12:L18"/>
    <mergeCell ref="M12:M18"/>
    <mergeCell ref="A39:A45"/>
    <mergeCell ref="O39:O45"/>
    <mergeCell ref="U39:U45"/>
    <mergeCell ref="B39:B45"/>
    <mergeCell ref="V39:V45"/>
    <mergeCell ref="C39:C45"/>
    <mergeCell ref="W39:W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M39:M45"/>
    <mergeCell ref="A113:A119"/>
    <mergeCell ref="O113:O119"/>
    <mergeCell ref="U113:U119"/>
    <mergeCell ref="B113:B119"/>
    <mergeCell ref="V113:V119"/>
    <mergeCell ref="C113:C119"/>
    <mergeCell ref="W113:W119"/>
    <mergeCell ref="A60:A66"/>
    <mergeCell ref="O60:O66"/>
    <mergeCell ref="U60:U66"/>
    <mergeCell ref="B60:B66"/>
    <mergeCell ref="V60:V66"/>
    <mergeCell ref="C60:C66"/>
    <mergeCell ref="W60:W66"/>
    <mergeCell ref="C67:C81"/>
    <mergeCell ref="A67:A81"/>
    <mergeCell ref="B67:B81"/>
    <mergeCell ref="K67:K81"/>
    <mergeCell ref="L67:L81"/>
    <mergeCell ref="M67:M81"/>
    <mergeCell ref="U82:U84"/>
    <mergeCell ref="B82:B84"/>
    <mergeCell ref="D113:D119"/>
    <mergeCell ref="E113:E119"/>
    <mergeCell ref="F113:F119"/>
    <mergeCell ref="G113:G119"/>
    <mergeCell ref="H113:H119"/>
    <mergeCell ref="I113:I119"/>
    <mergeCell ref="J113:J119"/>
    <mergeCell ref="K113:K119"/>
    <mergeCell ref="L113:L119"/>
    <mergeCell ref="M113:M119"/>
    <mergeCell ref="W51:W57"/>
    <mergeCell ref="D51:D57"/>
    <mergeCell ref="E51:E57"/>
    <mergeCell ref="F51:F57"/>
    <mergeCell ref="G51:G57"/>
    <mergeCell ref="H51:H57"/>
    <mergeCell ref="I51:I57"/>
    <mergeCell ref="J51:J57"/>
    <mergeCell ref="K51:K57"/>
    <mergeCell ref="L51:L57"/>
    <mergeCell ref="M51:M57"/>
    <mergeCell ref="J60:J66"/>
    <mergeCell ref="K60:K66"/>
    <mergeCell ref="L60:L66"/>
    <mergeCell ref="A51:A57"/>
    <mergeCell ref="O51:O57"/>
    <mergeCell ref="U51:U57"/>
    <mergeCell ref="B51:B57"/>
    <mergeCell ref="V51:V57"/>
    <mergeCell ref="C51:C57"/>
    <mergeCell ref="M60:M66"/>
    <mergeCell ref="A106:A112"/>
    <mergeCell ref="O106:O112"/>
    <mergeCell ref="U106:U112"/>
    <mergeCell ref="B106:B112"/>
    <mergeCell ref="V106:V112"/>
    <mergeCell ref="C106:C112"/>
    <mergeCell ref="W106:W112"/>
    <mergeCell ref="D106:D112"/>
    <mergeCell ref="E106:E112"/>
    <mergeCell ref="F106:F112"/>
    <mergeCell ref="G106:G112"/>
    <mergeCell ref="H106:H112"/>
    <mergeCell ref="I106:I112"/>
    <mergeCell ref="J106:J112"/>
    <mergeCell ref="K106:K112"/>
    <mergeCell ref="L106:L112"/>
    <mergeCell ref="M106:M112"/>
    <mergeCell ref="D60:D66"/>
    <mergeCell ref="E60:E66"/>
    <mergeCell ref="F60:F66"/>
    <mergeCell ref="G60:G66"/>
    <mergeCell ref="H60:H66"/>
    <mergeCell ref="I60:I66"/>
    <mergeCell ref="A19:A38"/>
    <mergeCell ref="O19:O38"/>
    <mergeCell ref="U19:U38"/>
    <mergeCell ref="B19:B38"/>
    <mergeCell ref="V19:V38"/>
    <mergeCell ref="C19:C38"/>
    <mergeCell ref="W19:W38"/>
    <mergeCell ref="D19:D38"/>
    <mergeCell ref="E19:E38"/>
    <mergeCell ref="F19:F38"/>
    <mergeCell ref="G19:G38"/>
    <mergeCell ref="H19:H38"/>
    <mergeCell ref="I19:I38"/>
    <mergeCell ref="J19:J38"/>
    <mergeCell ref="K19:K38"/>
    <mergeCell ref="L19:L38"/>
    <mergeCell ref="M19:M38"/>
    <mergeCell ref="A85:A105"/>
    <mergeCell ref="O85:O105"/>
    <mergeCell ref="U85:U105"/>
    <mergeCell ref="B85:B105"/>
    <mergeCell ref="V85:V105"/>
    <mergeCell ref="C85:C105"/>
    <mergeCell ref="W85:W105"/>
    <mergeCell ref="D85:D105"/>
    <mergeCell ref="E85:E105"/>
    <mergeCell ref="F85:F105"/>
    <mergeCell ref="G85:G105"/>
    <mergeCell ref="H85:H105"/>
    <mergeCell ref="I85:I105"/>
    <mergeCell ref="J85:J105"/>
    <mergeCell ref="K85:K105"/>
    <mergeCell ref="L85:L105"/>
    <mergeCell ref="M85:M105"/>
    <mergeCell ref="A140:A144"/>
    <mergeCell ref="O140:O144"/>
    <mergeCell ref="U140:U144"/>
    <mergeCell ref="B140:B144"/>
    <mergeCell ref="V140:V144"/>
    <mergeCell ref="C140:C144"/>
    <mergeCell ref="W140:W144"/>
    <mergeCell ref="D140:D144"/>
    <mergeCell ref="E140:E144"/>
    <mergeCell ref="F140:F144"/>
    <mergeCell ref="G140:G144"/>
    <mergeCell ref="H140:H144"/>
    <mergeCell ref="I140:I144"/>
    <mergeCell ref="J140:J144"/>
    <mergeCell ref="K140:K144"/>
    <mergeCell ref="L140:L144"/>
    <mergeCell ref="M140:M1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5"/>
  <sheetViews>
    <sheetView showGridLines="0" topLeftCell="I1" zoomScale="70" zoomScaleNormal="70" workbookViewId="0">
      <pane ySplit="8" topLeftCell="A9" activePane="bottomLeft" state="frozen"/>
      <selection pane="bottomLeft" activeCell="G9" sqref="G9:G12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607" t="s">
        <v>24</v>
      </c>
      <c r="F2" s="608"/>
      <c r="G2" s="98">
        <f>SUM(G9:G9999)</f>
        <v>2340353.5699999998</v>
      </c>
      <c r="L2" s="712" t="s">
        <v>137</v>
      </c>
      <c r="M2" s="713"/>
      <c r="N2" s="87">
        <f>SUM(N9:N9999)</f>
        <v>1769507.42</v>
      </c>
      <c r="P2" s="86"/>
      <c r="Q2" s="508" t="s">
        <v>45</v>
      </c>
      <c r="R2" s="509"/>
      <c r="S2" s="510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6" customFormat="1" ht="37.5" customHeight="1" x14ac:dyDescent="0.3">
      <c r="A9" s="709">
        <v>1</v>
      </c>
      <c r="B9" s="691"/>
      <c r="C9" s="691" t="s">
        <v>170</v>
      </c>
      <c r="D9" s="691" t="s">
        <v>152</v>
      </c>
      <c r="E9" s="694">
        <v>45654</v>
      </c>
      <c r="F9" s="697" t="s">
        <v>153</v>
      </c>
      <c r="G9" s="700">
        <v>1380000</v>
      </c>
      <c r="H9" s="703">
        <f>IF(V9 = 1, G9 + SUM(Q9:Q12) - SUM(R9:R12) - SUM(N9:N12) - T9,0)</f>
        <v>570846.15000000014</v>
      </c>
      <c r="I9" s="706">
        <v>2312054894</v>
      </c>
      <c r="J9" s="691" t="s">
        <v>154</v>
      </c>
      <c r="K9" s="691" t="s">
        <v>155</v>
      </c>
      <c r="L9" s="277">
        <v>45688</v>
      </c>
      <c r="M9" s="691" t="s">
        <v>151</v>
      </c>
      <c r="N9" s="271">
        <v>250889.21</v>
      </c>
      <c r="O9" s="277">
        <v>45706</v>
      </c>
      <c r="P9" s="272"/>
      <c r="Q9" s="271"/>
      <c r="R9" s="271"/>
      <c r="S9" s="697"/>
      <c r="T9" s="700"/>
      <c r="U9" s="688"/>
      <c r="V9" s="106">
        <v>1</v>
      </c>
    </row>
    <row r="10" spans="1:22" s="2" customFormat="1" x14ac:dyDescent="0.3">
      <c r="A10" s="710"/>
      <c r="B10" s="692"/>
      <c r="C10" s="692"/>
      <c r="D10" s="692"/>
      <c r="E10" s="695"/>
      <c r="F10" s="698"/>
      <c r="G10" s="701"/>
      <c r="H10" s="704"/>
      <c r="I10" s="707"/>
      <c r="J10" s="692"/>
      <c r="K10" s="692"/>
      <c r="L10" s="278">
        <v>45716</v>
      </c>
      <c r="M10" s="692"/>
      <c r="N10" s="273">
        <v>299048.48</v>
      </c>
      <c r="O10" s="278">
        <v>45734</v>
      </c>
      <c r="P10" s="274"/>
      <c r="Q10" s="273"/>
      <c r="R10" s="273"/>
      <c r="S10" s="698"/>
      <c r="T10" s="701"/>
      <c r="U10" s="689"/>
      <c r="V10" s="2">
        <v>1</v>
      </c>
    </row>
    <row r="11" spans="1:22" s="2" customFormat="1" x14ac:dyDescent="0.3">
      <c r="A11" s="710"/>
      <c r="B11" s="692"/>
      <c r="C11" s="692"/>
      <c r="D11" s="692"/>
      <c r="E11" s="695"/>
      <c r="F11" s="698"/>
      <c r="G11" s="701"/>
      <c r="H11" s="704"/>
      <c r="I11" s="707"/>
      <c r="J11" s="692"/>
      <c r="K11" s="692"/>
      <c r="L11" s="278">
        <v>45747</v>
      </c>
      <c r="M11" s="692"/>
      <c r="N11" s="273">
        <v>191076.7</v>
      </c>
      <c r="O11" s="278">
        <v>45761</v>
      </c>
      <c r="P11" s="274"/>
      <c r="Q11" s="273"/>
      <c r="R11" s="273"/>
      <c r="S11" s="698"/>
      <c r="T11" s="701"/>
      <c r="U11" s="689"/>
      <c r="V11" s="2">
        <v>1</v>
      </c>
    </row>
    <row r="12" spans="1:22" s="2" customFormat="1" x14ac:dyDescent="0.3">
      <c r="A12" s="711"/>
      <c r="B12" s="693"/>
      <c r="C12" s="693"/>
      <c r="D12" s="693"/>
      <c r="E12" s="696"/>
      <c r="F12" s="699"/>
      <c r="G12" s="702"/>
      <c r="H12" s="705"/>
      <c r="I12" s="708"/>
      <c r="J12" s="693"/>
      <c r="K12" s="693"/>
      <c r="L12" s="279">
        <v>45777</v>
      </c>
      <c r="M12" s="693"/>
      <c r="N12" s="275">
        <v>68139.460000000006</v>
      </c>
      <c r="O12" s="279">
        <v>45793</v>
      </c>
      <c r="P12" s="276"/>
      <c r="Q12" s="275"/>
      <c r="R12" s="275"/>
      <c r="S12" s="699"/>
      <c r="T12" s="702"/>
      <c r="U12" s="690"/>
      <c r="V12" s="2">
        <v>1</v>
      </c>
    </row>
    <row r="13" spans="1:22" s="106" customFormat="1" ht="54" customHeight="1" x14ac:dyDescent="0.3">
      <c r="A13" s="714">
        <v>2</v>
      </c>
      <c r="B13" s="716"/>
      <c r="C13" s="716" t="s">
        <v>147</v>
      </c>
      <c r="D13" s="716" t="s">
        <v>222</v>
      </c>
      <c r="E13" s="724">
        <v>45709</v>
      </c>
      <c r="F13" s="718" t="s">
        <v>223</v>
      </c>
      <c r="G13" s="720">
        <v>960353.57</v>
      </c>
      <c r="H13" s="726">
        <f>IF(V13 = 2, G13 + SUM(Q13:Q14) - SUM(R13:R14) - SUM(N13:N14) - T13,0)</f>
        <v>-1.1641532182693481E-10</v>
      </c>
      <c r="I13" s="728">
        <v>7715995942</v>
      </c>
      <c r="J13" s="716" t="s">
        <v>221</v>
      </c>
      <c r="K13" s="716" t="s">
        <v>224</v>
      </c>
      <c r="L13" s="296">
        <v>45749</v>
      </c>
      <c r="M13" s="716" t="s">
        <v>225</v>
      </c>
      <c r="N13" s="292">
        <v>760472.02</v>
      </c>
      <c r="O13" s="296">
        <v>45777</v>
      </c>
      <c r="P13" s="293"/>
      <c r="Q13" s="292"/>
      <c r="R13" s="292"/>
      <c r="S13" s="718"/>
      <c r="T13" s="720"/>
      <c r="U13" s="722"/>
      <c r="V13" s="106">
        <v>2</v>
      </c>
    </row>
    <row r="14" spans="1:22" s="2" customFormat="1" x14ac:dyDescent="0.3">
      <c r="A14" s="715"/>
      <c r="B14" s="717"/>
      <c r="C14" s="717"/>
      <c r="D14" s="717"/>
      <c r="E14" s="725"/>
      <c r="F14" s="719"/>
      <c r="G14" s="721"/>
      <c r="H14" s="727"/>
      <c r="I14" s="729"/>
      <c r="J14" s="717"/>
      <c r="K14" s="717"/>
      <c r="L14" s="297">
        <v>45810</v>
      </c>
      <c r="M14" s="717"/>
      <c r="N14" s="294">
        <v>199881.55</v>
      </c>
      <c r="O14" s="297">
        <v>45810</v>
      </c>
      <c r="P14" s="295"/>
      <c r="Q14" s="294"/>
      <c r="R14" s="294"/>
      <c r="S14" s="719"/>
      <c r="T14" s="721"/>
      <c r="U14" s="723"/>
      <c r="V14" s="2">
        <v>2</v>
      </c>
    </row>
    <row r="15" spans="1:22" x14ac:dyDescent="0.3">
      <c r="V15" s="8">
        <v>3</v>
      </c>
    </row>
  </sheetData>
  <sheetProtection password="EB34" sheet="1" objects="1" scenarios="1" formatCells="0" formatColumns="0" formatRows="0"/>
  <mergeCells count="33"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  <mergeCell ref="A13:A14"/>
    <mergeCell ref="M13:M14"/>
    <mergeCell ref="S13:S14"/>
    <mergeCell ref="B13:B14"/>
    <mergeCell ref="T13:T14"/>
    <mergeCell ref="C13:C14"/>
    <mergeCell ref="A9:A12"/>
    <mergeCell ref="B9:B12"/>
    <mergeCell ref="C9:C12"/>
    <mergeCell ref="Q2:S2"/>
    <mergeCell ref="E2:F2"/>
    <mergeCell ref="L2:M2"/>
    <mergeCell ref="M9:M12"/>
    <mergeCell ref="S9:S12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T9:T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3"/>
  <sheetViews>
    <sheetView showGridLines="0" topLeftCell="K1" zoomScale="70" zoomScaleNormal="70" workbookViewId="0">
      <pane ySplit="8" topLeftCell="A12" activePane="bottomLeft" state="frozen"/>
      <selection pane="bottomLeft" activeCell="F12" sqref="F12:G12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607" t="s">
        <v>139</v>
      </c>
      <c r="F2" s="608"/>
      <c r="G2" s="100">
        <f>SUM(G9:G9999)</f>
        <v>1806282</v>
      </c>
      <c r="H2" s="15"/>
      <c r="O2" s="607" t="s">
        <v>24</v>
      </c>
      <c r="P2" s="608"/>
      <c r="Q2" s="98">
        <f>SUM(Q9:Q9999)</f>
        <v>1739602.8</v>
      </c>
      <c r="T2" s="508" t="s">
        <v>137</v>
      </c>
      <c r="U2" s="510"/>
      <c r="V2" s="87">
        <f>SUM(V9:V9999)</f>
        <v>412776</v>
      </c>
      <c r="X2" s="86"/>
      <c r="Y2" s="508" t="s">
        <v>45</v>
      </c>
      <c r="Z2" s="509"/>
      <c r="AA2" s="510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ht="16.95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21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6" customFormat="1" ht="144" customHeight="1" x14ac:dyDescent="0.3">
      <c r="A9" s="730">
        <v>1</v>
      </c>
      <c r="B9" s="736" t="s">
        <v>56</v>
      </c>
      <c r="C9" s="736" t="s">
        <v>195</v>
      </c>
      <c r="D9" s="736" t="s">
        <v>147</v>
      </c>
      <c r="E9" s="736" t="s">
        <v>197</v>
      </c>
      <c r="F9" s="736" t="s">
        <v>181</v>
      </c>
      <c r="G9" s="739">
        <v>740880</v>
      </c>
      <c r="H9" s="748">
        <f>IF(AD9 = 1, G9 - Q9,0)</f>
        <v>66679.199999999953</v>
      </c>
      <c r="I9" s="739">
        <v>2</v>
      </c>
      <c r="J9" s="739"/>
      <c r="K9" s="736" t="s">
        <v>162</v>
      </c>
      <c r="L9" s="736" t="s">
        <v>196</v>
      </c>
      <c r="M9" s="736" t="s">
        <v>180</v>
      </c>
      <c r="N9" s="754">
        <v>45649</v>
      </c>
      <c r="O9" s="742">
        <v>2304067057</v>
      </c>
      <c r="P9" s="745" t="s">
        <v>182</v>
      </c>
      <c r="Q9" s="739">
        <v>674200.8</v>
      </c>
      <c r="R9" s="748">
        <f>IF(AD9 = 1, Q9 + SUM(Y9:Y11) - SUM(Z9:Z11) - SUM(V9:V11) - AB9,0)</f>
        <v>261424.80000000005</v>
      </c>
      <c r="S9" s="736"/>
      <c r="T9" s="211">
        <v>45691</v>
      </c>
      <c r="U9" s="733" t="s">
        <v>164</v>
      </c>
      <c r="V9" s="204">
        <v>142178.4</v>
      </c>
      <c r="W9" s="211">
        <v>45700</v>
      </c>
      <c r="X9" s="205"/>
      <c r="Y9" s="204"/>
      <c r="Z9" s="204"/>
      <c r="AA9" s="733"/>
      <c r="AB9" s="739"/>
      <c r="AC9" s="751"/>
      <c r="AD9" s="106">
        <v>1</v>
      </c>
    </row>
    <row r="10" spans="1:33" s="2" customFormat="1" x14ac:dyDescent="0.3">
      <c r="A10" s="731"/>
      <c r="B10" s="737"/>
      <c r="C10" s="737"/>
      <c r="D10" s="737"/>
      <c r="E10" s="737"/>
      <c r="F10" s="737"/>
      <c r="G10" s="740"/>
      <c r="H10" s="749"/>
      <c r="I10" s="740"/>
      <c r="J10" s="740"/>
      <c r="K10" s="737"/>
      <c r="L10" s="737"/>
      <c r="M10" s="737"/>
      <c r="N10" s="755"/>
      <c r="O10" s="743"/>
      <c r="P10" s="746"/>
      <c r="Q10" s="740"/>
      <c r="R10" s="749"/>
      <c r="S10" s="737"/>
      <c r="T10" s="212">
        <v>45719</v>
      </c>
      <c r="U10" s="734"/>
      <c r="V10" s="206">
        <v>128419.2</v>
      </c>
      <c r="W10" s="212">
        <v>45726</v>
      </c>
      <c r="X10" s="207"/>
      <c r="Y10" s="206"/>
      <c r="Z10" s="206"/>
      <c r="AA10" s="734"/>
      <c r="AB10" s="740"/>
      <c r="AC10" s="752"/>
      <c r="AD10" s="2">
        <v>1</v>
      </c>
    </row>
    <row r="11" spans="1:33" s="2" customFormat="1" x14ac:dyDescent="0.3">
      <c r="A11" s="732"/>
      <c r="B11" s="738"/>
      <c r="C11" s="738"/>
      <c r="D11" s="738"/>
      <c r="E11" s="738"/>
      <c r="F11" s="738"/>
      <c r="G11" s="741"/>
      <c r="H11" s="750"/>
      <c r="I11" s="741"/>
      <c r="J11" s="741"/>
      <c r="K11" s="738"/>
      <c r="L11" s="738"/>
      <c r="M11" s="738"/>
      <c r="N11" s="756"/>
      <c r="O11" s="744"/>
      <c r="P11" s="747"/>
      <c r="Q11" s="741"/>
      <c r="R11" s="750"/>
      <c r="S11" s="738"/>
      <c r="T11" s="213">
        <v>45749</v>
      </c>
      <c r="U11" s="735"/>
      <c r="V11" s="208">
        <v>142178.4</v>
      </c>
      <c r="W11" s="213">
        <v>45751</v>
      </c>
      <c r="X11" s="209"/>
      <c r="Y11" s="208"/>
      <c r="Z11" s="208"/>
      <c r="AA11" s="735"/>
      <c r="AB11" s="741"/>
      <c r="AC11" s="753"/>
      <c r="AD11" s="2">
        <v>1</v>
      </c>
    </row>
    <row r="12" spans="1:33" s="106" customFormat="1" ht="180" x14ac:dyDescent="0.3">
      <c r="A12" s="245">
        <v>2</v>
      </c>
      <c r="B12" s="258" t="s">
        <v>56</v>
      </c>
      <c r="C12" s="258" t="s">
        <v>335</v>
      </c>
      <c r="D12" s="258" t="s">
        <v>147</v>
      </c>
      <c r="E12" s="258" t="s">
        <v>336</v>
      </c>
      <c r="F12" s="258" t="s">
        <v>337</v>
      </c>
      <c r="G12" s="256">
        <v>1065402</v>
      </c>
      <c r="H12" s="246">
        <f>IF(AD12 = 2, G12 - Q12,0)</f>
        <v>0</v>
      </c>
      <c r="I12" s="256">
        <v>3</v>
      </c>
      <c r="J12" s="256"/>
      <c r="K12" s="258" t="s">
        <v>162</v>
      </c>
      <c r="L12" s="258" t="s">
        <v>338</v>
      </c>
      <c r="M12" s="258" t="s">
        <v>336</v>
      </c>
      <c r="N12" s="261">
        <v>45838</v>
      </c>
      <c r="O12" s="259">
        <v>2353020735</v>
      </c>
      <c r="P12" s="260" t="s">
        <v>339</v>
      </c>
      <c r="Q12" s="256">
        <v>1065402</v>
      </c>
      <c r="R12" s="246">
        <f>IF(AD12 = 2, Q12 + SUM(Y12:Y12) - SUM(Z12:Z12) - SUM(V12:V12) - AB12,0)</f>
        <v>1065402</v>
      </c>
      <c r="S12" s="258"/>
      <c r="T12" s="261"/>
      <c r="U12" s="257" t="s">
        <v>164</v>
      </c>
      <c r="V12" s="256"/>
      <c r="W12" s="261"/>
      <c r="X12" s="258"/>
      <c r="Y12" s="256"/>
      <c r="Z12" s="256"/>
      <c r="AA12" s="257"/>
      <c r="AB12" s="256"/>
      <c r="AC12" s="258"/>
      <c r="AD12" s="106">
        <v>2</v>
      </c>
    </row>
    <row r="13" spans="1:33" x14ac:dyDescent="0.3">
      <c r="AD13" s="8">
        <v>3</v>
      </c>
    </row>
  </sheetData>
  <sheetProtection password="EB34" sheet="1" objects="1" scenarios="1" formatCells="0" formatColumns="0" formatRows="0"/>
  <mergeCells count="27">
    <mergeCell ref="AB9:AB11"/>
    <mergeCell ref="C9:C11"/>
    <mergeCell ref="AC9:A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E2:F2"/>
    <mergeCell ref="O2:P2"/>
    <mergeCell ref="Y2:AA2"/>
    <mergeCell ref="T2:U2"/>
    <mergeCell ref="R9:R11"/>
    <mergeCell ref="S9:S11"/>
    <mergeCell ref="A9:A11"/>
    <mergeCell ref="U9:U11"/>
    <mergeCell ref="AA9:AA11"/>
    <mergeCell ref="B9:B11"/>
    <mergeCell ref="Q9:Q11"/>
    <mergeCell ref="O9:O11"/>
    <mergeCell ref="P9:P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42"/>
  <sheetViews>
    <sheetView showGridLines="0" topLeftCell="N1" zoomScale="50" zoomScaleNormal="50" workbookViewId="0">
      <pane ySplit="8" topLeftCell="A23" activePane="bottomLeft" state="frozen"/>
      <selection pane="bottomLeft" activeCell="V9" sqref="V9:V41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607" t="s">
        <v>139</v>
      </c>
      <c r="F2" s="608"/>
      <c r="G2" s="100">
        <f>SUM(G9:G9999)</f>
        <v>1599844.19</v>
      </c>
      <c r="H2" s="15"/>
      <c r="O2" s="607" t="s">
        <v>24</v>
      </c>
      <c r="P2" s="608"/>
      <c r="Q2" s="98">
        <f>SUM(Q9:Q9999)</f>
        <v>1599844.19</v>
      </c>
      <c r="T2" s="508" t="s">
        <v>137</v>
      </c>
      <c r="U2" s="510"/>
      <c r="V2" s="87">
        <f>SUM(V9:V9999)</f>
        <v>1412832.5899999999</v>
      </c>
      <c r="X2" s="86"/>
      <c r="Y2" s="508" t="s">
        <v>45</v>
      </c>
      <c r="Z2" s="509"/>
      <c r="AA2" s="510"/>
      <c r="AB2" s="88">
        <f>SUM(AB9:AB9999)</f>
        <v>187011.6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0.45" customHeight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6" customFormat="1" ht="144" customHeight="1" x14ac:dyDescent="0.3">
      <c r="A9" s="772">
        <v>1</v>
      </c>
      <c r="B9" s="760" t="s">
        <v>56</v>
      </c>
      <c r="C9" s="760" t="s">
        <v>192</v>
      </c>
      <c r="D9" s="760" t="s">
        <v>147</v>
      </c>
      <c r="E9" s="760" t="s">
        <v>193</v>
      </c>
      <c r="F9" s="760" t="s">
        <v>177</v>
      </c>
      <c r="G9" s="757">
        <v>1599844.19</v>
      </c>
      <c r="H9" s="766">
        <f>IF(AD9 = 1, G9 - Q9,0)</f>
        <v>0</v>
      </c>
      <c r="I9" s="757">
        <v>1</v>
      </c>
      <c r="J9" s="757"/>
      <c r="K9" s="760" t="s">
        <v>162</v>
      </c>
      <c r="L9" s="760" t="s">
        <v>194</v>
      </c>
      <c r="M9" s="760" t="s">
        <v>193</v>
      </c>
      <c r="N9" s="769">
        <v>45642</v>
      </c>
      <c r="O9" s="760" t="s">
        <v>178</v>
      </c>
      <c r="P9" s="760" t="s">
        <v>179</v>
      </c>
      <c r="Q9" s="757">
        <v>1599844.19</v>
      </c>
      <c r="R9" s="766">
        <f>IF(AD9 = 1, Q9 + SUM(Y9:Y41) - SUM(Z9:Z41) - SUM(V9:V41) - AB9,0)</f>
        <v>8.7311491370201111E-11</v>
      </c>
      <c r="S9" s="760"/>
      <c r="T9" s="268">
        <v>45681</v>
      </c>
      <c r="U9" s="760" t="s">
        <v>164</v>
      </c>
      <c r="V9" s="262">
        <v>28455</v>
      </c>
      <c r="W9" s="268">
        <v>45701</v>
      </c>
      <c r="X9" s="263"/>
      <c r="Y9" s="262"/>
      <c r="Z9" s="262"/>
      <c r="AA9" s="760" t="s">
        <v>340</v>
      </c>
      <c r="AB9" s="757">
        <v>187011.6</v>
      </c>
      <c r="AC9" s="763"/>
      <c r="AD9" s="106">
        <v>1</v>
      </c>
    </row>
    <row r="10" spans="1:33" s="2" customFormat="1" x14ac:dyDescent="0.3">
      <c r="A10" s="773"/>
      <c r="B10" s="761"/>
      <c r="C10" s="761"/>
      <c r="D10" s="761"/>
      <c r="E10" s="761"/>
      <c r="F10" s="761"/>
      <c r="G10" s="758"/>
      <c r="H10" s="767"/>
      <c r="I10" s="758"/>
      <c r="J10" s="758"/>
      <c r="K10" s="761"/>
      <c r="L10" s="761"/>
      <c r="M10" s="761"/>
      <c r="N10" s="770"/>
      <c r="O10" s="761"/>
      <c r="P10" s="761"/>
      <c r="Q10" s="758"/>
      <c r="R10" s="767"/>
      <c r="S10" s="761"/>
      <c r="T10" s="269">
        <v>45695</v>
      </c>
      <c r="U10" s="761"/>
      <c r="V10" s="264">
        <v>39340</v>
      </c>
      <c r="W10" s="269">
        <v>45701</v>
      </c>
      <c r="X10" s="265"/>
      <c r="Y10" s="264"/>
      <c r="Z10" s="264"/>
      <c r="AA10" s="761"/>
      <c r="AB10" s="758"/>
      <c r="AC10" s="764"/>
      <c r="AD10" s="2">
        <v>1</v>
      </c>
    </row>
    <row r="11" spans="1:33" s="2" customFormat="1" x14ac:dyDescent="0.3">
      <c r="A11" s="773"/>
      <c r="B11" s="761"/>
      <c r="C11" s="761"/>
      <c r="D11" s="761"/>
      <c r="E11" s="761"/>
      <c r="F11" s="761"/>
      <c r="G11" s="758"/>
      <c r="H11" s="767"/>
      <c r="I11" s="758"/>
      <c r="J11" s="758"/>
      <c r="K11" s="761"/>
      <c r="L11" s="761"/>
      <c r="M11" s="761"/>
      <c r="N11" s="770"/>
      <c r="O11" s="761"/>
      <c r="P11" s="761"/>
      <c r="Q11" s="758"/>
      <c r="R11" s="767"/>
      <c r="S11" s="761"/>
      <c r="T11" s="269">
        <v>45695</v>
      </c>
      <c r="U11" s="761"/>
      <c r="V11" s="264">
        <v>122212.22</v>
      </c>
      <c r="W11" s="269">
        <v>45712</v>
      </c>
      <c r="X11" s="265"/>
      <c r="Y11" s="264"/>
      <c r="Z11" s="264"/>
      <c r="AA11" s="761"/>
      <c r="AB11" s="758"/>
      <c r="AC11" s="764"/>
      <c r="AD11" s="2">
        <v>1</v>
      </c>
    </row>
    <row r="12" spans="1:33" s="2" customFormat="1" x14ac:dyDescent="0.3">
      <c r="A12" s="773"/>
      <c r="B12" s="761"/>
      <c r="C12" s="761"/>
      <c r="D12" s="761"/>
      <c r="E12" s="761"/>
      <c r="F12" s="761"/>
      <c r="G12" s="758"/>
      <c r="H12" s="767"/>
      <c r="I12" s="758"/>
      <c r="J12" s="758"/>
      <c r="K12" s="761"/>
      <c r="L12" s="761"/>
      <c r="M12" s="761"/>
      <c r="N12" s="770"/>
      <c r="O12" s="761"/>
      <c r="P12" s="761"/>
      <c r="Q12" s="758"/>
      <c r="R12" s="767"/>
      <c r="S12" s="761"/>
      <c r="T12" s="269">
        <v>45315</v>
      </c>
      <c r="U12" s="761"/>
      <c r="V12" s="264">
        <v>88397.27</v>
      </c>
      <c r="W12" s="269">
        <v>45712</v>
      </c>
      <c r="X12" s="265"/>
      <c r="Y12" s="264"/>
      <c r="Z12" s="264"/>
      <c r="AA12" s="761"/>
      <c r="AB12" s="758"/>
      <c r="AC12" s="764"/>
      <c r="AD12" s="2">
        <v>1</v>
      </c>
    </row>
    <row r="13" spans="1:33" s="2" customFormat="1" x14ac:dyDescent="0.3">
      <c r="A13" s="773"/>
      <c r="B13" s="761"/>
      <c r="C13" s="761"/>
      <c r="D13" s="761"/>
      <c r="E13" s="761"/>
      <c r="F13" s="761"/>
      <c r="G13" s="758"/>
      <c r="H13" s="767"/>
      <c r="I13" s="758"/>
      <c r="J13" s="758"/>
      <c r="K13" s="761"/>
      <c r="L13" s="761"/>
      <c r="M13" s="761"/>
      <c r="N13" s="770"/>
      <c r="O13" s="761"/>
      <c r="P13" s="761"/>
      <c r="Q13" s="758"/>
      <c r="R13" s="767"/>
      <c r="S13" s="761"/>
      <c r="T13" s="269">
        <v>45695</v>
      </c>
      <c r="U13" s="761"/>
      <c r="V13" s="264">
        <v>7800.86</v>
      </c>
      <c r="W13" s="269">
        <v>45712</v>
      </c>
      <c r="X13" s="265"/>
      <c r="Y13" s="264"/>
      <c r="Z13" s="264"/>
      <c r="AA13" s="761"/>
      <c r="AB13" s="758"/>
      <c r="AC13" s="764"/>
      <c r="AD13" s="2">
        <v>1</v>
      </c>
    </row>
    <row r="14" spans="1:33" s="2" customFormat="1" x14ac:dyDescent="0.3">
      <c r="A14" s="773"/>
      <c r="B14" s="761"/>
      <c r="C14" s="761"/>
      <c r="D14" s="761"/>
      <c r="E14" s="761"/>
      <c r="F14" s="761"/>
      <c r="G14" s="758"/>
      <c r="H14" s="767"/>
      <c r="I14" s="758"/>
      <c r="J14" s="758"/>
      <c r="K14" s="761"/>
      <c r="L14" s="761"/>
      <c r="M14" s="761"/>
      <c r="N14" s="770"/>
      <c r="O14" s="761"/>
      <c r="P14" s="761"/>
      <c r="Q14" s="758"/>
      <c r="R14" s="767"/>
      <c r="S14" s="761"/>
      <c r="T14" s="269">
        <v>45681</v>
      </c>
      <c r="U14" s="761"/>
      <c r="V14" s="264">
        <v>5642.44</v>
      </c>
      <c r="W14" s="269">
        <v>45712</v>
      </c>
      <c r="X14" s="265"/>
      <c r="Y14" s="264"/>
      <c r="Z14" s="264"/>
      <c r="AA14" s="761"/>
      <c r="AB14" s="758"/>
      <c r="AC14" s="764"/>
      <c r="AD14" s="2">
        <v>1</v>
      </c>
    </row>
    <row r="15" spans="1:33" s="2" customFormat="1" x14ac:dyDescent="0.3">
      <c r="A15" s="773"/>
      <c r="B15" s="761"/>
      <c r="C15" s="761"/>
      <c r="D15" s="761"/>
      <c r="E15" s="761"/>
      <c r="F15" s="761"/>
      <c r="G15" s="758"/>
      <c r="H15" s="767"/>
      <c r="I15" s="758"/>
      <c r="J15" s="758"/>
      <c r="K15" s="761"/>
      <c r="L15" s="761"/>
      <c r="M15" s="761"/>
      <c r="N15" s="770"/>
      <c r="O15" s="761"/>
      <c r="P15" s="761"/>
      <c r="Q15" s="758"/>
      <c r="R15" s="767"/>
      <c r="S15" s="761"/>
      <c r="T15" s="269">
        <v>45708</v>
      </c>
      <c r="U15" s="761"/>
      <c r="V15" s="264">
        <v>6044.97</v>
      </c>
      <c r="W15" s="269">
        <v>45719</v>
      </c>
      <c r="X15" s="265"/>
      <c r="Y15" s="264"/>
      <c r="Z15" s="264"/>
      <c r="AA15" s="761"/>
      <c r="AB15" s="758"/>
      <c r="AC15" s="764"/>
      <c r="AD15" s="2">
        <v>1</v>
      </c>
    </row>
    <row r="16" spans="1:33" s="2" customFormat="1" x14ac:dyDescent="0.3">
      <c r="A16" s="773"/>
      <c r="B16" s="761"/>
      <c r="C16" s="761"/>
      <c r="D16" s="761"/>
      <c r="E16" s="761"/>
      <c r="F16" s="761"/>
      <c r="G16" s="758"/>
      <c r="H16" s="767"/>
      <c r="I16" s="758"/>
      <c r="J16" s="758"/>
      <c r="K16" s="761"/>
      <c r="L16" s="761"/>
      <c r="M16" s="761"/>
      <c r="N16" s="770"/>
      <c r="O16" s="761"/>
      <c r="P16" s="761"/>
      <c r="Q16" s="758"/>
      <c r="R16" s="767"/>
      <c r="S16" s="761"/>
      <c r="T16" s="269">
        <v>45708</v>
      </c>
      <c r="U16" s="761"/>
      <c r="V16" s="264">
        <v>30485</v>
      </c>
      <c r="W16" s="269">
        <v>45719</v>
      </c>
      <c r="X16" s="265"/>
      <c r="Y16" s="264"/>
      <c r="Z16" s="264"/>
      <c r="AA16" s="761"/>
      <c r="AB16" s="758"/>
      <c r="AC16" s="764"/>
      <c r="AD16" s="2">
        <v>1</v>
      </c>
    </row>
    <row r="17" spans="1:30" s="2" customFormat="1" x14ac:dyDescent="0.3">
      <c r="A17" s="773"/>
      <c r="B17" s="761"/>
      <c r="C17" s="761"/>
      <c r="D17" s="761"/>
      <c r="E17" s="761"/>
      <c r="F17" s="761"/>
      <c r="G17" s="758"/>
      <c r="H17" s="767"/>
      <c r="I17" s="758"/>
      <c r="J17" s="758"/>
      <c r="K17" s="761"/>
      <c r="L17" s="761"/>
      <c r="M17" s="761"/>
      <c r="N17" s="770"/>
      <c r="O17" s="761"/>
      <c r="P17" s="761"/>
      <c r="Q17" s="758"/>
      <c r="R17" s="767"/>
      <c r="S17" s="761"/>
      <c r="T17" s="269">
        <v>45708</v>
      </c>
      <c r="U17" s="761"/>
      <c r="V17" s="264">
        <v>94703.6</v>
      </c>
      <c r="W17" s="269">
        <v>45719</v>
      </c>
      <c r="X17" s="265"/>
      <c r="Y17" s="264"/>
      <c r="Z17" s="264"/>
      <c r="AA17" s="761"/>
      <c r="AB17" s="758"/>
      <c r="AC17" s="764"/>
      <c r="AD17" s="2">
        <v>1</v>
      </c>
    </row>
    <row r="18" spans="1:30" s="2" customFormat="1" x14ac:dyDescent="0.3">
      <c r="A18" s="773"/>
      <c r="B18" s="761"/>
      <c r="C18" s="761"/>
      <c r="D18" s="761"/>
      <c r="E18" s="761"/>
      <c r="F18" s="761"/>
      <c r="G18" s="758"/>
      <c r="H18" s="767"/>
      <c r="I18" s="758"/>
      <c r="J18" s="758"/>
      <c r="K18" s="761"/>
      <c r="L18" s="761"/>
      <c r="M18" s="761"/>
      <c r="N18" s="770"/>
      <c r="O18" s="761"/>
      <c r="P18" s="761"/>
      <c r="Q18" s="758"/>
      <c r="R18" s="767"/>
      <c r="S18" s="761"/>
      <c r="T18" s="269">
        <v>45722</v>
      </c>
      <c r="U18" s="761"/>
      <c r="V18" s="264">
        <v>102749.6</v>
      </c>
      <c r="W18" s="269">
        <v>45734</v>
      </c>
      <c r="X18" s="265"/>
      <c r="Y18" s="264"/>
      <c r="Z18" s="264"/>
      <c r="AA18" s="761"/>
      <c r="AB18" s="758"/>
      <c r="AC18" s="764"/>
      <c r="AD18" s="2">
        <v>1</v>
      </c>
    </row>
    <row r="19" spans="1:30" s="2" customFormat="1" x14ac:dyDescent="0.3">
      <c r="A19" s="773"/>
      <c r="B19" s="761"/>
      <c r="C19" s="761"/>
      <c r="D19" s="761"/>
      <c r="E19" s="761"/>
      <c r="F19" s="761"/>
      <c r="G19" s="758"/>
      <c r="H19" s="767"/>
      <c r="I19" s="758"/>
      <c r="J19" s="758"/>
      <c r="K19" s="761"/>
      <c r="L19" s="761"/>
      <c r="M19" s="761"/>
      <c r="N19" s="770"/>
      <c r="O19" s="761"/>
      <c r="P19" s="761"/>
      <c r="Q19" s="758"/>
      <c r="R19" s="767"/>
      <c r="S19" s="761"/>
      <c r="T19" s="269">
        <v>45722</v>
      </c>
      <c r="U19" s="761"/>
      <c r="V19" s="264">
        <v>33075</v>
      </c>
      <c r="W19" s="269">
        <v>45734</v>
      </c>
      <c r="X19" s="265"/>
      <c r="Y19" s="264"/>
      <c r="Z19" s="264"/>
      <c r="AA19" s="761"/>
      <c r="AB19" s="758"/>
      <c r="AC19" s="764"/>
      <c r="AD19" s="2">
        <v>1</v>
      </c>
    </row>
    <row r="20" spans="1:30" s="2" customFormat="1" x14ac:dyDescent="0.3">
      <c r="A20" s="773"/>
      <c r="B20" s="761"/>
      <c r="C20" s="761"/>
      <c r="D20" s="761"/>
      <c r="E20" s="761"/>
      <c r="F20" s="761"/>
      <c r="G20" s="758"/>
      <c r="H20" s="767"/>
      <c r="I20" s="758"/>
      <c r="J20" s="758"/>
      <c r="K20" s="761"/>
      <c r="L20" s="761"/>
      <c r="M20" s="761"/>
      <c r="N20" s="770"/>
      <c r="O20" s="761"/>
      <c r="P20" s="761"/>
      <c r="Q20" s="758"/>
      <c r="R20" s="767"/>
      <c r="S20" s="761"/>
      <c r="T20" s="269">
        <v>45722</v>
      </c>
      <c r="U20" s="761"/>
      <c r="V20" s="264">
        <v>6558.55</v>
      </c>
      <c r="W20" s="269">
        <v>45734</v>
      </c>
      <c r="X20" s="265"/>
      <c r="Y20" s="264"/>
      <c r="Z20" s="264"/>
      <c r="AA20" s="761"/>
      <c r="AB20" s="758"/>
      <c r="AC20" s="764"/>
      <c r="AD20" s="2">
        <v>1</v>
      </c>
    </row>
    <row r="21" spans="1:30" s="2" customFormat="1" x14ac:dyDescent="0.3">
      <c r="A21" s="773"/>
      <c r="B21" s="761"/>
      <c r="C21" s="761"/>
      <c r="D21" s="761"/>
      <c r="E21" s="761"/>
      <c r="F21" s="761"/>
      <c r="G21" s="758"/>
      <c r="H21" s="767"/>
      <c r="I21" s="758"/>
      <c r="J21" s="758"/>
      <c r="K21" s="761"/>
      <c r="L21" s="761"/>
      <c r="M21" s="761"/>
      <c r="N21" s="770"/>
      <c r="O21" s="761"/>
      <c r="P21" s="761"/>
      <c r="Q21" s="758"/>
      <c r="R21" s="767"/>
      <c r="S21" s="761"/>
      <c r="T21" s="269">
        <v>45737</v>
      </c>
      <c r="U21" s="761"/>
      <c r="V21" s="264">
        <v>117210.65</v>
      </c>
      <c r="W21" s="269">
        <v>45741</v>
      </c>
      <c r="X21" s="265"/>
      <c r="Y21" s="264"/>
      <c r="Z21" s="264"/>
      <c r="AA21" s="761"/>
      <c r="AB21" s="758"/>
      <c r="AC21" s="764"/>
      <c r="AD21" s="2">
        <v>1</v>
      </c>
    </row>
    <row r="22" spans="1:30" s="2" customFormat="1" x14ac:dyDescent="0.3">
      <c r="A22" s="773"/>
      <c r="B22" s="761"/>
      <c r="C22" s="761"/>
      <c r="D22" s="761"/>
      <c r="E22" s="761"/>
      <c r="F22" s="761"/>
      <c r="G22" s="758"/>
      <c r="H22" s="767"/>
      <c r="I22" s="758"/>
      <c r="J22" s="758"/>
      <c r="K22" s="761"/>
      <c r="L22" s="761"/>
      <c r="M22" s="761"/>
      <c r="N22" s="770"/>
      <c r="O22" s="761"/>
      <c r="P22" s="761"/>
      <c r="Q22" s="758"/>
      <c r="R22" s="767"/>
      <c r="S22" s="761"/>
      <c r="T22" s="269">
        <v>45737</v>
      </c>
      <c r="U22" s="761"/>
      <c r="V22" s="264">
        <v>7481.61</v>
      </c>
      <c r="W22" s="269">
        <v>45741</v>
      </c>
      <c r="X22" s="265"/>
      <c r="Y22" s="264"/>
      <c r="Z22" s="264"/>
      <c r="AA22" s="761"/>
      <c r="AB22" s="758"/>
      <c r="AC22" s="764"/>
      <c r="AD22" s="2">
        <v>1</v>
      </c>
    </row>
    <row r="23" spans="1:30" s="2" customFormat="1" x14ac:dyDescent="0.3">
      <c r="A23" s="773"/>
      <c r="B23" s="761"/>
      <c r="C23" s="761"/>
      <c r="D23" s="761"/>
      <c r="E23" s="761"/>
      <c r="F23" s="761"/>
      <c r="G23" s="758"/>
      <c r="H23" s="767"/>
      <c r="I23" s="758"/>
      <c r="J23" s="758"/>
      <c r="K23" s="761"/>
      <c r="L23" s="761"/>
      <c r="M23" s="761"/>
      <c r="N23" s="770"/>
      <c r="O23" s="761"/>
      <c r="P23" s="761"/>
      <c r="Q23" s="758"/>
      <c r="R23" s="767"/>
      <c r="S23" s="761"/>
      <c r="T23" s="269">
        <v>45737</v>
      </c>
      <c r="U23" s="761"/>
      <c r="V23" s="264">
        <v>37730</v>
      </c>
      <c r="W23" s="269">
        <v>45741</v>
      </c>
      <c r="X23" s="265"/>
      <c r="Y23" s="264"/>
      <c r="Z23" s="264"/>
      <c r="AA23" s="761"/>
      <c r="AB23" s="758"/>
      <c r="AC23" s="764"/>
      <c r="AD23" s="2">
        <v>1</v>
      </c>
    </row>
    <row r="24" spans="1:30" s="2" customFormat="1" x14ac:dyDescent="0.3">
      <c r="A24" s="773"/>
      <c r="B24" s="761"/>
      <c r="C24" s="761"/>
      <c r="D24" s="761"/>
      <c r="E24" s="761"/>
      <c r="F24" s="761"/>
      <c r="G24" s="758"/>
      <c r="H24" s="767"/>
      <c r="I24" s="758"/>
      <c r="J24" s="758"/>
      <c r="K24" s="761"/>
      <c r="L24" s="761"/>
      <c r="M24" s="761"/>
      <c r="N24" s="770"/>
      <c r="O24" s="761"/>
      <c r="P24" s="761"/>
      <c r="Q24" s="758"/>
      <c r="R24" s="767"/>
      <c r="S24" s="761"/>
      <c r="T24" s="269">
        <v>45744</v>
      </c>
      <c r="U24" s="761"/>
      <c r="V24" s="264">
        <v>3886.55</v>
      </c>
      <c r="W24" s="269">
        <v>45751</v>
      </c>
      <c r="X24" s="265"/>
      <c r="Y24" s="264"/>
      <c r="Z24" s="264"/>
      <c r="AA24" s="761"/>
      <c r="AB24" s="758"/>
      <c r="AC24" s="764"/>
      <c r="AD24" s="2">
        <v>1</v>
      </c>
    </row>
    <row r="25" spans="1:30" s="2" customFormat="1" x14ac:dyDescent="0.3">
      <c r="A25" s="773"/>
      <c r="B25" s="761"/>
      <c r="C25" s="761"/>
      <c r="D25" s="761"/>
      <c r="E25" s="761"/>
      <c r="F25" s="761"/>
      <c r="G25" s="758"/>
      <c r="H25" s="767"/>
      <c r="I25" s="758"/>
      <c r="J25" s="758"/>
      <c r="K25" s="761"/>
      <c r="L25" s="761"/>
      <c r="M25" s="761"/>
      <c r="N25" s="770"/>
      <c r="O25" s="761"/>
      <c r="P25" s="761"/>
      <c r="Q25" s="758"/>
      <c r="R25" s="767"/>
      <c r="S25" s="761"/>
      <c r="T25" s="269">
        <v>45744</v>
      </c>
      <c r="U25" s="761"/>
      <c r="V25" s="264">
        <v>19600</v>
      </c>
      <c r="W25" s="269">
        <v>45751</v>
      </c>
      <c r="X25" s="265"/>
      <c r="Y25" s="264"/>
      <c r="Z25" s="264"/>
      <c r="AA25" s="761"/>
      <c r="AB25" s="758"/>
      <c r="AC25" s="764"/>
      <c r="AD25" s="2">
        <v>1</v>
      </c>
    </row>
    <row r="26" spans="1:30" s="2" customFormat="1" x14ac:dyDescent="0.3">
      <c r="A26" s="773"/>
      <c r="B26" s="761"/>
      <c r="C26" s="761"/>
      <c r="D26" s="761"/>
      <c r="E26" s="761"/>
      <c r="F26" s="761"/>
      <c r="G26" s="758"/>
      <c r="H26" s="767"/>
      <c r="I26" s="758"/>
      <c r="J26" s="758"/>
      <c r="K26" s="761"/>
      <c r="L26" s="761"/>
      <c r="M26" s="761"/>
      <c r="N26" s="770"/>
      <c r="O26" s="761"/>
      <c r="P26" s="761"/>
      <c r="Q26" s="758"/>
      <c r="R26" s="767"/>
      <c r="S26" s="761"/>
      <c r="T26" s="269">
        <v>45744</v>
      </c>
      <c r="U26" s="761"/>
      <c r="V26" s="264">
        <v>60888.65</v>
      </c>
      <c r="W26" s="269">
        <v>45751</v>
      </c>
      <c r="X26" s="265"/>
      <c r="Y26" s="264"/>
      <c r="Z26" s="264"/>
      <c r="AA26" s="761"/>
      <c r="AB26" s="758"/>
      <c r="AC26" s="764"/>
      <c r="AD26" s="2">
        <v>1</v>
      </c>
    </row>
    <row r="27" spans="1:30" s="2" customFormat="1" x14ac:dyDescent="0.3">
      <c r="A27" s="773"/>
      <c r="B27" s="761"/>
      <c r="C27" s="761"/>
      <c r="D27" s="761"/>
      <c r="E27" s="761"/>
      <c r="F27" s="761"/>
      <c r="G27" s="758"/>
      <c r="H27" s="767"/>
      <c r="I27" s="758"/>
      <c r="J27" s="758"/>
      <c r="K27" s="761"/>
      <c r="L27" s="761"/>
      <c r="M27" s="761"/>
      <c r="N27" s="770"/>
      <c r="O27" s="761"/>
      <c r="P27" s="761"/>
      <c r="Q27" s="758"/>
      <c r="R27" s="767"/>
      <c r="S27" s="761"/>
      <c r="T27" s="269">
        <v>45757</v>
      </c>
      <c r="U27" s="761"/>
      <c r="V27" s="264">
        <v>4004.53</v>
      </c>
      <c r="W27" s="269">
        <v>45761</v>
      </c>
      <c r="X27" s="265"/>
      <c r="Y27" s="264"/>
      <c r="Z27" s="264"/>
      <c r="AA27" s="761"/>
      <c r="AB27" s="758"/>
      <c r="AC27" s="764"/>
      <c r="AD27" s="2">
        <v>1</v>
      </c>
    </row>
    <row r="28" spans="1:30" s="2" customFormat="1" x14ac:dyDescent="0.3">
      <c r="A28" s="773"/>
      <c r="B28" s="761"/>
      <c r="C28" s="761"/>
      <c r="D28" s="761"/>
      <c r="E28" s="761"/>
      <c r="F28" s="761"/>
      <c r="G28" s="758"/>
      <c r="H28" s="767"/>
      <c r="I28" s="758"/>
      <c r="J28" s="758"/>
      <c r="K28" s="761"/>
      <c r="L28" s="761"/>
      <c r="M28" s="761"/>
      <c r="N28" s="770"/>
      <c r="O28" s="761"/>
      <c r="P28" s="761"/>
      <c r="Q28" s="758"/>
      <c r="R28" s="767"/>
      <c r="S28" s="761"/>
      <c r="T28" s="269">
        <v>45757</v>
      </c>
      <c r="U28" s="761"/>
      <c r="V28" s="264">
        <v>20195</v>
      </c>
      <c r="W28" s="269">
        <v>45761</v>
      </c>
      <c r="X28" s="265"/>
      <c r="Y28" s="264"/>
      <c r="Z28" s="264"/>
      <c r="AA28" s="761"/>
      <c r="AB28" s="758"/>
      <c r="AC28" s="764"/>
      <c r="AD28" s="2">
        <v>1</v>
      </c>
    </row>
    <row r="29" spans="1:30" s="2" customFormat="1" x14ac:dyDescent="0.3">
      <c r="A29" s="773"/>
      <c r="B29" s="761"/>
      <c r="C29" s="761"/>
      <c r="D29" s="761"/>
      <c r="E29" s="761"/>
      <c r="F29" s="761"/>
      <c r="G29" s="758"/>
      <c r="H29" s="767"/>
      <c r="I29" s="758"/>
      <c r="J29" s="758"/>
      <c r="K29" s="761"/>
      <c r="L29" s="761"/>
      <c r="M29" s="761"/>
      <c r="N29" s="770"/>
      <c r="O29" s="761"/>
      <c r="P29" s="761"/>
      <c r="Q29" s="758"/>
      <c r="R29" s="767"/>
      <c r="S29" s="761"/>
      <c r="T29" s="269">
        <v>45757</v>
      </c>
      <c r="U29" s="761"/>
      <c r="V29" s="264">
        <v>62737.06</v>
      </c>
      <c r="W29" s="269">
        <v>45761</v>
      </c>
      <c r="X29" s="265"/>
      <c r="Y29" s="264"/>
      <c r="Z29" s="264"/>
      <c r="AA29" s="761"/>
      <c r="AB29" s="758"/>
      <c r="AC29" s="764"/>
      <c r="AD29" s="2">
        <v>1</v>
      </c>
    </row>
    <row r="30" spans="1:30" s="2" customFormat="1" x14ac:dyDescent="0.3">
      <c r="A30" s="773"/>
      <c r="B30" s="761"/>
      <c r="C30" s="761"/>
      <c r="D30" s="761"/>
      <c r="E30" s="761"/>
      <c r="F30" s="761"/>
      <c r="G30" s="758"/>
      <c r="H30" s="767"/>
      <c r="I30" s="758"/>
      <c r="J30" s="758"/>
      <c r="K30" s="761"/>
      <c r="L30" s="761"/>
      <c r="M30" s="761"/>
      <c r="N30" s="770"/>
      <c r="O30" s="761"/>
      <c r="P30" s="761"/>
      <c r="Q30" s="758"/>
      <c r="R30" s="767"/>
      <c r="S30" s="761"/>
      <c r="T30" s="269">
        <v>45772</v>
      </c>
      <c r="U30" s="761"/>
      <c r="V30" s="264">
        <v>8106.23</v>
      </c>
      <c r="W30" s="269">
        <v>45782</v>
      </c>
      <c r="X30" s="265"/>
      <c r="Y30" s="264"/>
      <c r="Z30" s="264"/>
      <c r="AA30" s="761"/>
      <c r="AB30" s="758"/>
      <c r="AC30" s="764"/>
      <c r="AD30" s="2">
        <v>1</v>
      </c>
    </row>
    <row r="31" spans="1:30" s="2" customFormat="1" x14ac:dyDescent="0.3">
      <c r="A31" s="773"/>
      <c r="B31" s="761"/>
      <c r="C31" s="761"/>
      <c r="D31" s="761"/>
      <c r="E31" s="761"/>
      <c r="F31" s="761"/>
      <c r="G31" s="758"/>
      <c r="H31" s="767"/>
      <c r="I31" s="758"/>
      <c r="J31" s="758"/>
      <c r="K31" s="761"/>
      <c r="L31" s="761"/>
      <c r="M31" s="761"/>
      <c r="N31" s="770"/>
      <c r="O31" s="761"/>
      <c r="P31" s="761"/>
      <c r="Q31" s="758"/>
      <c r="R31" s="767"/>
      <c r="S31" s="761"/>
      <c r="T31" s="269">
        <v>45772</v>
      </c>
      <c r="U31" s="761"/>
      <c r="V31" s="264">
        <v>126996.33</v>
      </c>
      <c r="W31" s="269">
        <v>45782</v>
      </c>
      <c r="X31" s="265"/>
      <c r="Y31" s="264"/>
      <c r="Z31" s="264"/>
      <c r="AA31" s="761"/>
      <c r="AB31" s="758"/>
      <c r="AC31" s="764"/>
      <c r="AD31" s="2">
        <v>1</v>
      </c>
    </row>
    <row r="32" spans="1:30" s="2" customFormat="1" x14ac:dyDescent="0.3">
      <c r="A32" s="773"/>
      <c r="B32" s="761"/>
      <c r="C32" s="761"/>
      <c r="D32" s="761"/>
      <c r="E32" s="761"/>
      <c r="F32" s="761"/>
      <c r="G32" s="758"/>
      <c r="H32" s="767"/>
      <c r="I32" s="758"/>
      <c r="J32" s="758"/>
      <c r="K32" s="761"/>
      <c r="L32" s="761"/>
      <c r="M32" s="761"/>
      <c r="N32" s="770"/>
      <c r="O32" s="761"/>
      <c r="P32" s="761"/>
      <c r="Q32" s="758"/>
      <c r="R32" s="767"/>
      <c r="S32" s="761"/>
      <c r="T32" s="269">
        <v>45772</v>
      </c>
      <c r="U32" s="761"/>
      <c r="V32" s="264">
        <v>40880</v>
      </c>
      <c r="W32" s="269">
        <v>45782</v>
      </c>
      <c r="X32" s="265"/>
      <c r="Y32" s="264"/>
      <c r="Z32" s="264"/>
      <c r="AA32" s="761"/>
      <c r="AB32" s="758"/>
      <c r="AC32" s="764"/>
      <c r="AD32" s="2">
        <v>1</v>
      </c>
    </row>
    <row r="33" spans="1:30" s="2" customFormat="1" x14ac:dyDescent="0.3">
      <c r="A33" s="773"/>
      <c r="B33" s="761"/>
      <c r="C33" s="761"/>
      <c r="D33" s="761"/>
      <c r="E33" s="761"/>
      <c r="F33" s="761"/>
      <c r="G33" s="758"/>
      <c r="H33" s="767"/>
      <c r="I33" s="758"/>
      <c r="J33" s="758"/>
      <c r="K33" s="761"/>
      <c r="L33" s="761"/>
      <c r="M33" s="761"/>
      <c r="N33" s="770"/>
      <c r="O33" s="761"/>
      <c r="P33" s="761"/>
      <c r="Q33" s="758"/>
      <c r="R33" s="767"/>
      <c r="S33" s="761"/>
      <c r="T33" s="269">
        <v>45789</v>
      </c>
      <c r="U33" s="761"/>
      <c r="V33" s="264">
        <v>77089.38</v>
      </c>
      <c r="W33" s="269">
        <v>45793</v>
      </c>
      <c r="X33" s="265"/>
      <c r="Y33" s="264"/>
      <c r="Z33" s="264"/>
      <c r="AA33" s="761"/>
      <c r="AB33" s="758"/>
      <c r="AC33" s="764"/>
      <c r="AD33" s="2">
        <v>1</v>
      </c>
    </row>
    <row r="34" spans="1:30" s="2" customFormat="1" x14ac:dyDescent="0.3">
      <c r="A34" s="773"/>
      <c r="B34" s="761"/>
      <c r="C34" s="761"/>
      <c r="D34" s="761"/>
      <c r="E34" s="761"/>
      <c r="F34" s="761"/>
      <c r="G34" s="758"/>
      <c r="H34" s="767"/>
      <c r="I34" s="758"/>
      <c r="J34" s="758"/>
      <c r="K34" s="761"/>
      <c r="L34" s="761"/>
      <c r="M34" s="761"/>
      <c r="N34" s="770"/>
      <c r="O34" s="761"/>
      <c r="P34" s="761"/>
      <c r="Q34" s="758"/>
      <c r="R34" s="767"/>
      <c r="S34" s="761"/>
      <c r="T34" s="269">
        <v>45789</v>
      </c>
      <c r="U34" s="761"/>
      <c r="V34" s="264">
        <v>4920.6499999999996</v>
      </c>
      <c r="W34" s="269">
        <v>45793</v>
      </c>
      <c r="X34" s="265"/>
      <c r="Y34" s="264"/>
      <c r="Z34" s="264"/>
      <c r="AA34" s="761"/>
      <c r="AB34" s="758"/>
      <c r="AC34" s="764"/>
      <c r="AD34" s="2">
        <v>1</v>
      </c>
    </row>
    <row r="35" spans="1:30" s="2" customFormat="1" x14ac:dyDescent="0.3">
      <c r="A35" s="773"/>
      <c r="B35" s="761"/>
      <c r="C35" s="761"/>
      <c r="D35" s="761"/>
      <c r="E35" s="761"/>
      <c r="F35" s="761"/>
      <c r="G35" s="758"/>
      <c r="H35" s="767"/>
      <c r="I35" s="758"/>
      <c r="J35" s="758"/>
      <c r="K35" s="761"/>
      <c r="L35" s="761"/>
      <c r="M35" s="761"/>
      <c r="N35" s="770"/>
      <c r="O35" s="761"/>
      <c r="P35" s="761"/>
      <c r="Q35" s="758"/>
      <c r="R35" s="767"/>
      <c r="S35" s="761"/>
      <c r="T35" s="269">
        <v>45789</v>
      </c>
      <c r="U35" s="761"/>
      <c r="V35" s="264">
        <v>24815</v>
      </c>
      <c r="W35" s="269">
        <v>45793</v>
      </c>
      <c r="X35" s="265"/>
      <c r="Y35" s="264"/>
      <c r="Z35" s="264"/>
      <c r="AA35" s="761"/>
      <c r="AB35" s="758"/>
      <c r="AC35" s="764"/>
      <c r="AD35" s="2">
        <v>1</v>
      </c>
    </row>
    <row r="36" spans="1:30" s="2" customFormat="1" x14ac:dyDescent="0.3">
      <c r="A36" s="773"/>
      <c r="B36" s="761"/>
      <c r="C36" s="761"/>
      <c r="D36" s="761"/>
      <c r="E36" s="761"/>
      <c r="F36" s="761"/>
      <c r="G36" s="758"/>
      <c r="H36" s="767"/>
      <c r="I36" s="758"/>
      <c r="J36" s="758"/>
      <c r="K36" s="761"/>
      <c r="L36" s="761"/>
      <c r="M36" s="761"/>
      <c r="N36" s="770"/>
      <c r="O36" s="761"/>
      <c r="P36" s="761"/>
      <c r="Q36" s="758"/>
      <c r="R36" s="767"/>
      <c r="S36" s="761"/>
      <c r="T36" s="269">
        <v>45799</v>
      </c>
      <c r="U36" s="761"/>
      <c r="V36" s="264">
        <v>6426.69</v>
      </c>
      <c r="W36" s="269">
        <v>45807</v>
      </c>
      <c r="X36" s="265"/>
      <c r="Y36" s="264"/>
      <c r="Z36" s="264"/>
      <c r="AA36" s="761"/>
      <c r="AB36" s="758"/>
      <c r="AC36" s="764"/>
      <c r="AD36" s="2">
        <v>1</v>
      </c>
    </row>
    <row r="37" spans="1:30" s="2" customFormat="1" x14ac:dyDescent="0.3">
      <c r="A37" s="773"/>
      <c r="B37" s="761"/>
      <c r="C37" s="761"/>
      <c r="D37" s="761"/>
      <c r="E37" s="761"/>
      <c r="F37" s="761"/>
      <c r="G37" s="758"/>
      <c r="H37" s="767"/>
      <c r="I37" s="758"/>
      <c r="J37" s="758"/>
      <c r="K37" s="761"/>
      <c r="L37" s="761"/>
      <c r="M37" s="761"/>
      <c r="N37" s="770"/>
      <c r="O37" s="761"/>
      <c r="P37" s="761"/>
      <c r="Q37" s="758"/>
      <c r="R37" s="767"/>
      <c r="S37" s="761"/>
      <c r="T37" s="269">
        <v>45799</v>
      </c>
      <c r="U37" s="761"/>
      <c r="V37" s="264">
        <v>32410</v>
      </c>
      <c r="W37" s="269">
        <v>45807</v>
      </c>
      <c r="X37" s="265"/>
      <c r="Y37" s="264"/>
      <c r="Z37" s="264"/>
      <c r="AA37" s="761"/>
      <c r="AB37" s="758"/>
      <c r="AC37" s="764"/>
      <c r="AD37" s="2">
        <v>1</v>
      </c>
    </row>
    <row r="38" spans="1:30" s="2" customFormat="1" x14ac:dyDescent="0.3">
      <c r="A38" s="773"/>
      <c r="B38" s="761"/>
      <c r="C38" s="761"/>
      <c r="D38" s="761"/>
      <c r="E38" s="761"/>
      <c r="F38" s="761"/>
      <c r="G38" s="758"/>
      <c r="H38" s="767"/>
      <c r="I38" s="758"/>
      <c r="J38" s="758"/>
      <c r="K38" s="761"/>
      <c r="L38" s="761"/>
      <c r="M38" s="761"/>
      <c r="N38" s="770"/>
      <c r="O38" s="761"/>
      <c r="P38" s="761"/>
      <c r="Q38" s="758"/>
      <c r="R38" s="767"/>
      <c r="S38" s="761"/>
      <c r="T38" s="269">
        <v>45799</v>
      </c>
      <c r="U38" s="761"/>
      <c r="V38" s="264">
        <v>100683.73</v>
      </c>
      <c r="W38" s="269">
        <v>45807</v>
      </c>
      <c r="X38" s="265"/>
      <c r="Y38" s="264"/>
      <c r="Z38" s="264"/>
      <c r="AA38" s="761"/>
      <c r="AB38" s="758"/>
      <c r="AC38" s="764"/>
      <c r="AD38" s="2">
        <v>1</v>
      </c>
    </row>
    <row r="39" spans="1:30" s="2" customFormat="1" x14ac:dyDescent="0.3">
      <c r="A39" s="773"/>
      <c r="B39" s="761"/>
      <c r="C39" s="761"/>
      <c r="D39" s="761"/>
      <c r="E39" s="761"/>
      <c r="F39" s="761"/>
      <c r="G39" s="758"/>
      <c r="H39" s="767"/>
      <c r="I39" s="758"/>
      <c r="J39" s="758"/>
      <c r="K39" s="761"/>
      <c r="L39" s="761"/>
      <c r="M39" s="761"/>
      <c r="N39" s="770"/>
      <c r="O39" s="761"/>
      <c r="P39" s="761"/>
      <c r="Q39" s="758"/>
      <c r="R39" s="767"/>
      <c r="S39" s="761"/>
      <c r="T39" s="269">
        <v>45805</v>
      </c>
      <c r="U39" s="761"/>
      <c r="V39" s="264">
        <v>21210</v>
      </c>
      <c r="W39" s="269">
        <v>45812</v>
      </c>
      <c r="X39" s="265"/>
      <c r="Y39" s="264"/>
      <c r="Z39" s="264"/>
      <c r="AA39" s="761"/>
      <c r="AB39" s="758"/>
      <c r="AC39" s="764"/>
      <c r="AD39" s="2">
        <v>1</v>
      </c>
    </row>
    <row r="40" spans="1:30" s="2" customFormat="1" x14ac:dyDescent="0.3">
      <c r="A40" s="773"/>
      <c r="B40" s="761"/>
      <c r="C40" s="761"/>
      <c r="D40" s="761"/>
      <c r="E40" s="761"/>
      <c r="F40" s="761"/>
      <c r="G40" s="758"/>
      <c r="H40" s="767"/>
      <c r="I40" s="758"/>
      <c r="J40" s="758"/>
      <c r="K40" s="761"/>
      <c r="L40" s="761"/>
      <c r="M40" s="761"/>
      <c r="N40" s="770"/>
      <c r="O40" s="761"/>
      <c r="P40" s="761"/>
      <c r="Q40" s="758"/>
      <c r="R40" s="767"/>
      <c r="S40" s="761"/>
      <c r="T40" s="269">
        <v>45805</v>
      </c>
      <c r="U40" s="761"/>
      <c r="V40" s="264">
        <v>4205.8</v>
      </c>
      <c r="W40" s="269">
        <v>45812</v>
      </c>
      <c r="X40" s="265"/>
      <c r="Y40" s="264"/>
      <c r="Z40" s="264"/>
      <c r="AA40" s="761"/>
      <c r="AB40" s="758"/>
      <c r="AC40" s="764"/>
      <c r="AD40" s="2">
        <v>1</v>
      </c>
    </row>
    <row r="41" spans="1:30" s="2" customFormat="1" x14ac:dyDescent="0.3">
      <c r="A41" s="774"/>
      <c r="B41" s="762"/>
      <c r="C41" s="762"/>
      <c r="D41" s="762"/>
      <c r="E41" s="762"/>
      <c r="F41" s="762"/>
      <c r="G41" s="759"/>
      <c r="H41" s="768"/>
      <c r="I41" s="759"/>
      <c r="J41" s="759"/>
      <c r="K41" s="762"/>
      <c r="L41" s="762"/>
      <c r="M41" s="762"/>
      <c r="N41" s="771"/>
      <c r="O41" s="762"/>
      <c r="P41" s="762"/>
      <c r="Q41" s="759"/>
      <c r="R41" s="768"/>
      <c r="S41" s="762"/>
      <c r="T41" s="270">
        <v>45805</v>
      </c>
      <c r="U41" s="762"/>
      <c r="V41" s="266">
        <v>65890.22</v>
      </c>
      <c r="W41" s="270">
        <v>45812</v>
      </c>
      <c r="X41" s="267"/>
      <c r="Y41" s="266"/>
      <c r="Z41" s="266"/>
      <c r="AA41" s="762"/>
      <c r="AB41" s="759"/>
      <c r="AC41" s="765"/>
      <c r="AD41" s="2">
        <v>1</v>
      </c>
    </row>
    <row r="42" spans="1:30" x14ac:dyDescent="0.3">
      <c r="A42" s="14"/>
      <c r="B42" s="14"/>
      <c r="C42" s="14"/>
      <c r="D42" s="14"/>
      <c r="E42" s="14"/>
      <c r="F42" s="14"/>
      <c r="G42" s="15"/>
      <c r="H42" s="16"/>
      <c r="I42" s="104"/>
      <c r="J42" s="104"/>
      <c r="K42" s="14"/>
      <c r="L42" s="14"/>
      <c r="M42" s="14"/>
      <c r="N42" s="29"/>
      <c r="O42" s="14"/>
      <c r="P42" s="14"/>
      <c r="Q42" s="15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8">
        <v>2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A9:A41"/>
    <mergeCell ref="U9:U41"/>
    <mergeCell ref="O9:O41"/>
    <mergeCell ref="P9:P41"/>
    <mergeCell ref="Q9:Q41"/>
    <mergeCell ref="R9:R41"/>
    <mergeCell ref="S9:S41"/>
    <mergeCell ref="AA9:AA41"/>
    <mergeCell ref="B9:B41"/>
    <mergeCell ref="AB9:AB41"/>
    <mergeCell ref="C9:C41"/>
    <mergeCell ref="AC9:AC41"/>
    <mergeCell ref="D9:D41"/>
    <mergeCell ref="E9:E41"/>
    <mergeCell ref="F9:F41"/>
    <mergeCell ref="G9:G41"/>
    <mergeCell ref="H9:H41"/>
    <mergeCell ref="I9:I41"/>
    <mergeCell ref="J9:J41"/>
    <mergeCell ref="K9:K41"/>
    <mergeCell ref="L9:L41"/>
    <mergeCell ref="M9:M41"/>
    <mergeCell ref="N9:N4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20"/>
  <sheetViews>
    <sheetView showGridLines="0" topLeftCell="P1" zoomScale="70" zoomScaleNormal="70" workbookViewId="0">
      <pane ySplit="8" topLeftCell="A9" activePane="bottomLeft" state="frozen"/>
      <selection pane="bottomLeft" activeCell="X9" sqref="X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607" t="s">
        <v>139</v>
      </c>
      <c r="F2" s="608"/>
      <c r="G2" s="100">
        <f>SUM(G9:G10000)</f>
        <v>1098720</v>
      </c>
      <c r="H2" s="15"/>
      <c r="O2" s="607" t="s">
        <v>24</v>
      </c>
      <c r="P2" s="608"/>
      <c r="Q2" s="98">
        <f>SUM(Q9:Q10000)</f>
        <v>994080</v>
      </c>
      <c r="T2" s="508" t="s">
        <v>137</v>
      </c>
      <c r="U2" s="510"/>
      <c r="V2" s="87">
        <f>SUM(V9:V10000)</f>
        <v>296400</v>
      </c>
      <c r="X2" s="86"/>
      <c r="Y2" s="508" t="s">
        <v>45</v>
      </c>
      <c r="Z2" s="509"/>
      <c r="AA2" s="510"/>
      <c r="AB2" s="88">
        <f>SUM(AB9:AB10000)</f>
        <v>0</v>
      </c>
    </row>
    <row r="4" spans="1:33" ht="39.9" customHeight="1" x14ac:dyDescent="0.3">
      <c r="P4" s="796"/>
      <c r="Q4" s="796"/>
      <c r="R4" s="796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6.5" customHeight="1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s="106" customFormat="1" ht="126" customHeight="1" x14ac:dyDescent="0.3">
      <c r="A9" s="793">
        <v>1</v>
      </c>
      <c r="B9" s="778" t="s">
        <v>56</v>
      </c>
      <c r="C9" s="778" t="s">
        <v>328</v>
      </c>
      <c r="D9" s="778" t="s">
        <v>147</v>
      </c>
      <c r="E9" s="778" t="s">
        <v>329</v>
      </c>
      <c r="F9" s="778" t="s">
        <v>181</v>
      </c>
      <c r="G9" s="781">
        <v>1098720</v>
      </c>
      <c r="H9" s="784">
        <f>IF(AD9 = 2, G9 - Q9,0)</f>
        <v>104640</v>
      </c>
      <c r="I9" s="781">
        <v>1</v>
      </c>
      <c r="J9" s="781"/>
      <c r="K9" s="778" t="s">
        <v>162</v>
      </c>
      <c r="L9" s="778" t="s">
        <v>330</v>
      </c>
      <c r="M9" s="778" t="s">
        <v>331</v>
      </c>
      <c r="N9" s="787" t="s">
        <v>332</v>
      </c>
      <c r="O9" s="790">
        <v>2304067057</v>
      </c>
      <c r="P9" s="778" t="s">
        <v>333</v>
      </c>
      <c r="Q9" s="781">
        <v>994080</v>
      </c>
      <c r="R9" s="784">
        <f>IF(AD9 = 2, Q9 + SUM(Y9:Y11) - SUM(Z9:Z11) - SUM(V9:V11) - AB9,0)</f>
        <v>697680</v>
      </c>
      <c r="S9" s="778"/>
      <c r="T9" s="392">
        <v>45813</v>
      </c>
      <c r="U9" s="778" t="s">
        <v>334</v>
      </c>
      <c r="V9" s="386">
        <v>18240</v>
      </c>
      <c r="W9" s="392">
        <v>45818</v>
      </c>
      <c r="X9" s="387"/>
      <c r="Y9" s="386"/>
      <c r="Z9" s="386"/>
      <c r="AA9" s="778"/>
      <c r="AB9" s="781"/>
      <c r="AC9" s="775"/>
      <c r="AD9" s="106">
        <v>2</v>
      </c>
    </row>
    <row r="10" spans="1:33" s="2" customFormat="1" x14ac:dyDescent="0.3">
      <c r="A10" s="794"/>
      <c r="B10" s="779"/>
      <c r="C10" s="779"/>
      <c r="D10" s="779"/>
      <c r="E10" s="779"/>
      <c r="F10" s="779"/>
      <c r="G10" s="782"/>
      <c r="H10" s="785"/>
      <c r="I10" s="782"/>
      <c r="J10" s="782"/>
      <c r="K10" s="779"/>
      <c r="L10" s="779"/>
      <c r="M10" s="779"/>
      <c r="N10" s="788"/>
      <c r="O10" s="791"/>
      <c r="P10" s="779"/>
      <c r="Q10" s="782"/>
      <c r="R10" s="785"/>
      <c r="S10" s="779"/>
      <c r="T10" s="393">
        <v>45842</v>
      </c>
      <c r="U10" s="779"/>
      <c r="V10" s="388">
        <v>136800</v>
      </c>
      <c r="W10" s="393">
        <v>45842</v>
      </c>
      <c r="X10" s="389"/>
      <c r="Y10" s="388"/>
      <c r="Z10" s="388"/>
      <c r="AA10" s="779"/>
      <c r="AB10" s="782"/>
      <c r="AC10" s="776"/>
      <c r="AD10" s="2">
        <v>2</v>
      </c>
    </row>
    <row r="11" spans="1:33" s="2" customFormat="1" x14ac:dyDescent="0.3">
      <c r="A11" s="795"/>
      <c r="B11" s="780"/>
      <c r="C11" s="780"/>
      <c r="D11" s="780"/>
      <c r="E11" s="780"/>
      <c r="F11" s="780"/>
      <c r="G11" s="783"/>
      <c r="H11" s="786"/>
      <c r="I11" s="783"/>
      <c r="J11" s="783"/>
      <c r="K11" s="780"/>
      <c r="L11" s="780"/>
      <c r="M11" s="780"/>
      <c r="N11" s="789"/>
      <c r="O11" s="792"/>
      <c r="P11" s="780"/>
      <c r="Q11" s="783"/>
      <c r="R11" s="786"/>
      <c r="S11" s="780"/>
      <c r="T11" s="394">
        <v>45870</v>
      </c>
      <c r="U11" s="780"/>
      <c r="V11" s="390">
        <v>141360</v>
      </c>
      <c r="W11" s="394">
        <v>45870</v>
      </c>
      <c r="X11" s="391"/>
      <c r="Y11" s="390"/>
      <c r="Z11" s="390"/>
      <c r="AA11" s="780"/>
      <c r="AB11" s="783"/>
      <c r="AC11" s="777"/>
      <c r="AD11" s="2">
        <v>2</v>
      </c>
    </row>
    <row r="12" spans="1:33" hidden="1" x14ac:dyDescent="0.3">
      <c r="M12" s="3"/>
      <c r="AD12" s="8">
        <v>3</v>
      </c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  <row r="18" spans="13:13" hidden="1" x14ac:dyDescent="0.3">
      <c r="M18" s="3"/>
    </row>
    <row r="19" spans="13:13" hidden="1" x14ac:dyDescent="0.3">
      <c r="M19" s="3"/>
    </row>
    <row r="20" spans="13:13" hidden="1" x14ac:dyDescent="0.3">
      <c r="M20" s="3"/>
    </row>
  </sheetData>
  <sheetProtection password="EB34" sheet="1" objects="1" scenarios="1" formatCells="0" formatColumns="0" formatRows="0"/>
  <mergeCells count="28">
    <mergeCell ref="P4:R4"/>
    <mergeCell ref="E2:F2"/>
    <mergeCell ref="O2:P2"/>
    <mergeCell ref="Y2:AA2"/>
    <mergeCell ref="T2:U2"/>
    <mergeCell ref="A9:A11"/>
    <mergeCell ref="U9:U11"/>
    <mergeCell ref="AA9:AA11"/>
    <mergeCell ref="B9:B11"/>
    <mergeCell ref="AB9:AB11"/>
    <mergeCell ref="C9:C11"/>
    <mergeCell ref="S9:S11"/>
    <mergeCell ref="AC9:A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64</v>
      </c>
      <c r="B1" s="65">
        <v>32</v>
      </c>
      <c r="C1" s="65">
        <v>9</v>
      </c>
      <c r="D1" s="799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800"/>
      <c r="E2" s="48"/>
      <c r="F2" s="80">
        <v>68</v>
      </c>
      <c r="G2" s="84">
        <v>62</v>
      </c>
      <c r="H2" s="83">
        <v>2</v>
      </c>
      <c r="I2" s="82">
        <v>2</v>
      </c>
      <c r="J2" s="81">
        <v>1</v>
      </c>
      <c r="K2" s="85">
        <v>2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178</v>
      </c>
      <c r="B4" s="62">
        <v>44</v>
      </c>
      <c r="C4" s="62">
        <v>9</v>
      </c>
      <c r="D4" s="801" t="s">
        <v>102</v>
      </c>
      <c r="E4" s="48"/>
      <c r="F4" s="80">
        <v>69</v>
      </c>
      <c r="G4" s="84">
        <v>63</v>
      </c>
      <c r="H4" s="83">
        <v>3</v>
      </c>
      <c r="I4" s="82">
        <v>3</v>
      </c>
      <c r="J4" s="81">
        <v>2</v>
      </c>
      <c r="K4" s="85">
        <v>3</v>
      </c>
    </row>
    <row r="5" spans="1:11" x14ac:dyDescent="0.3">
      <c r="A5" s="61" t="s">
        <v>89</v>
      </c>
      <c r="B5" s="62" t="s">
        <v>88</v>
      </c>
      <c r="C5" s="62" t="s">
        <v>87</v>
      </c>
      <c r="D5" s="802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14</v>
      </c>
      <c r="B7" s="64">
        <v>2</v>
      </c>
      <c r="C7" s="64">
        <v>9</v>
      </c>
      <c r="D7" s="803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804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12</v>
      </c>
      <c r="B10" s="60">
        <v>2</v>
      </c>
      <c r="C10" s="60">
        <v>9</v>
      </c>
      <c r="D10" s="805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806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41</v>
      </c>
      <c r="B13" s="58">
        <v>1</v>
      </c>
      <c r="C13" s="58">
        <v>9</v>
      </c>
      <c r="D13" s="807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808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11</v>
      </c>
      <c r="B16" s="56">
        <v>1</v>
      </c>
      <c r="C16" s="56">
        <v>9</v>
      </c>
      <c r="D16" s="797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798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2025-09-04T11:38:45Z</dcterms:modified>
</cp:coreProperties>
</file>