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workbookProtection workbookPassword="EB34" lockStructure="1"/>
  <bookViews>
    <workbookView xWindow="0" yWindow="0" windowWidth="20496" windowHeight="7656" tabRatio="603" firstSheet="1" activeTab="1"/>
  </bookViews>
  <sheets>
    <sheet name="Общая информация" sheetId="21" r:id="rId1"/>
    <sheet name="Ед. поставщик п.4 ч.1" sheetId="27" r:id="rId2"/>
    <sheet name="Ед. поставщик п.5 ч.1" sheetId="31" r:id="rId3"/>
    <sheet name="Ед.поставщик за искл. п.4,5 ч.1" sheetId="19" r:id="rId4"/>
    <sheet name="Состоявшиеся аукционы" sheetId="17" r:id="rId5"/>
    <sheet name="Несостоявшиеся аукционы" sheetId="22" r:id="rId6"/>
    <sheet name="Иные конкурентные закупки" sheetId="20" r:id="rId7"/>
    <sheet name="Настройки" sheetId="32" state="hidden" r:id="rId8"/>
  </sheets>
  <definedNames>
    <definedName name="_xlnm._FilterDatabase" localSheetId="1" hidden="1">'Ед. поставщик п.4 ч.1'!$A$6:$U$8</definedName>
  </definedNames>
  <calcPr calcId="162913"/>
</workbook>
</file>

<file path=xl/calcChain.xml><?xml version="1.0" encoding="utf-8"?>
<calcChain xmlns="http://schemas.openxmlformats.org/spreadsheetml/2006/main">
  <c r="I68" i="27" l="1"/>
  <c r="I67" i="27"/>
  <c r="H2" i="27"/>
  <c r="P2" i="27"/>
  <c r="V2" i="27"/>
  <c r="I107" i="31"/>
  <c r="I106" i="31"/>
  <c r="H2" i="31"/>
  <c r="P2" i="31"/>
  <c r="V2" i="31"/>
  <c r="I66" i="27"/>
  <c r="I105" i="31"/>
  <c r="G2" i="19"/>
  <c r="N2" i="19"/>
  <c r="T2" i="19"/>
  <c r="I57" i="27"/>
  <c r="H9" i="22"/>
  <c r="R9" i="22"/>
  <c r="G2" i="22"/>
  <c r="Q2" i="22"/>
  <c r="V2" i="22"/>
  <c r="AB2" i="22"/>
  <c r="G2" i="17"/>
  <c r="Q2" i="17"/>
  <c r="V2" i="17"/>
  <c r="AB2" i="17"/>
  <c r="I67" i="31"/>
  <c r="I36" i="27"/>
  <c r="H9" i="20"/>
  <c r="R9" i="20"/>
  <c r="G2" i="20"/>
  <c r="Q2" i="20"/>
  <c r="V2" i="20"/>
  <c r="AB2" i="20"/>
  <c r="I48" i="31"/>
  <c r="I28" i="31"/>
  <c r="I12" i="31"/>
  <c r="I17" i="31"/>
  <c r="I30" i="27"/>
  <c r="I23" i="27"/>
  <c r="I19" i="27"/>
  <c r="I11" i="27"/>
  <c r="I97" i="31" l="1"/>
  <c r="I9" i="31"/>
  <c r="I80" i="31"/>
  <c r="I63" i="31"/>
  <c r="I60" i="31"/>
  <c r="I92" i="31"/>
  <c r="I27" i="27"/>
  <c r="H9" i="19"/>
  <c r="I53" i="27"/>
  <c r="I56" i="31"/>
  <c r="I104" i="31" l="1"/>
  <c r="I103" i="31"/>
  <c r="I65" i="27"/>
  <c r="I64" i="27"/>
  <c r="I63" i="27"/>
  <c r="I102" i="31"/>
  <c r="I101" i="31"/>
  <c r="I100" i="31"/>
  <c r="I62" i="27"/>
  <c r="I61" i="27"/>
  <c r="I99" i="31"/>
  <c r="I60" i="27"/>
  <c r="I59" i="27"/>
  <c r="H9" i="17" l="1"/>
  <c r="R9" i="17"/>
  <c r="I96" i="31"/>
  <c r="I95" i="31"/>
  <c r="I55" i="27"/>
  <c r="I52" i="27"/>
  <c r="I89" i="31"/>
  <c r="I86" i="31"/>
  <c r="I51" i="27"/>
  <c r="I79" i="31" l="1"/>
  <c r="I50" i="27"/>
  <c r="I49" i="27"/>
  <c r="I48" i="27"/>
  <c r="I35" i="27"/>
  <c r="I34" i="27"/>
  <c r="I47" i="31"/>
  <c r="I42" i="31"/>
  <c r="I32" i="31"/>
  <c r="I15" i="27" l="1"/>
  <c r="I9" i="27"/>
  <c r="D13" i="21" l="1"/>
  <c r="R8" i="20" l="1"/>
  <c r="H8" i="20"/>
  <c r="R8" i="22"/>
  <c r="H8" i="22"/>
  <c r="I8" i="27" l="1"/>
  <c r="J9" i="21" l="1"/>
  <c r="J13" i="21"/>
  <c r="G13" i="21" l="1"/>
  <c r="M5" i="21" s="1"/>
  <c r="J14" i="21"/>
  <c r="D14" i="21"/>
  <c r="G14" i="21" s="1"/>
  <c r="D12" i="21"/>
  <c r="J12" i="21"/>
  <c r="D19" i="21"/>
  <c r="G12" i="21" l="1"/>
  <c r="M13" i="21"/>
  <c r="M14" i="21"/>
  <c r="J11" i="21"/>
  <c r="J10" i="21"/>
  <c r="J15" i="21" l="1"/>
  <c r="D10" i="21"/>
  <c r="H5" i="21" l="1"/>
  <c r="R8" i="17"/>
  <c r="H8" i="17"/>
  <c r="D9" i="21" l="1"/>
  <c r="G10" i="21" l="1"/>
  <c r="G11" i="21" l="1"/>
  <c r="D11" i="21"/>
  <c r="D15" i="21" s="1"/>
  <c r="G9" i="21"/>
  <c r="G15" i="21" l="1"/>
  <c r="C5" i="21" s="1"/>
  <c r="M12" i="21"/>
  <c r="M11" i="21"/>
  <c r="M9" i="21"/>
  <c r="M10" i="21"/>
  <c r="M15" i="21" l="1"/>
</calcChain>
</file>

<file path=xl/sharedStrings.xml><?xml version="1.0" encoding="utf-8"?>
<sst xmlns="http://schemas.openxmlformats.org/spreadsheetml/2006/main" count="933" uniqueCount="316">
  <si>
    <t>Дата заключения</t>
  </si>
  <si>
    <t>№ договора/контракта</t>
  </si>
  <si>
    <t>Дата заключения договора/контракта</t>
  </si>
  <si>
    <t>Предмет договора/контракта</t>
  </si>
  <si>
    <t>Цена договора/контракта</t>
  </si>
  <si>
    <t>Поставщик (подрядчик, исполнитель)</t>
  </si>
  <si>
    <t>Сроки оплаты согласно договора/контракта</t>
  </si>
  <si>
    <t>Фактическая дата поставки товара (оказания услуги, выполнения работы)</t>
  </si>
  <si>
    <t>№ п/п</t>
  </si>
  <si>
    <t>Фактическая дата оплаты</t>
  </si>
  <si>
    <t>Код бюджетной классификации</t>
  </si>
  <si>
    <t>№ извещения</t>
  </si>
  <si>
    <t>Объект закупки</t>
  </si>
  <si>
    <t>Н(М)ЦК</t>
  </si>
  <si>
    <t>СМП и СОНО</t>
  </si>
  <si>
    <t>№ контракта</t>
  </si>
  <si>
    <t>Количество поданных заявок</t>
  </si>
  <si>
    <t>Количество заявок признанные несоответствующими</t>
  </si>
  <si>
    <t>Цена контракта</t>
  </si>
  <si>
    <t>Сроки поставки товара (оказания услуги, выполнения работы), согласно контракта</t>
  </si>
  <si>
    <t>Сроки оплаты согласно контракта</t>
  </si>
  <si>
    <t xml:space="preserve">№ в реестре контрактов </t>
  </si>
  <si>
    <t>Остаток по контракту</t>
  </si>
  <si>
    <t>Сумма согласно документа об исполнении контракта заказчиком</t>
  </si>
  <si>
    <t>Сумма заключенных контрактов</t>
  </si>
  <si>
    <t>СГОЗ  (общий)</t>
  </si>
  <si>
    <t>СГОЗ (остаток)</t>
  </si>
  <si>
    <t>Способ определения поставщика (подрядчика, исполнителя)</t>
  </si>
  <si>
    <t>Начальная (максимальная) цена контракта</t>
  </si>
  <si>
    <t>Фактическая цена контракта</t>
  </si>
  <si>
    <t xml:space="preserve">Экономия </t>
  </si>
  <si>
    <t>Состоявшиеся аукционы</t>
  </si>
  <si>
    <t>№ в реестре контрактов</t>
  </si>
  <si>
    <t>ИКЗ (Идентификационный код закупки)</t>
  </si>
  <si>
    <t>Экономия</t>
  </si>
  <si>
    <t>Всего средств потрачено по заключенным контрактам</t>
  </si>
  <si>
    <t>1</t>
  </si>
  <si>
    <t>Фактическая дата поставки товара (оказания услуги, выполнения работы) и (или) предоставление документов на оплату и подписание документов о приемке</t>
  </si>
  <si>
    <t>Цена контракта (Объем финансового обеспечения подлежащий к оплате в текущем фин. году)</t>
  </si>
  <si>
    <t>Сроки поставки товара (оказания услуги, выполнения работы), согласно контракта; Предоставление документов на оплату Закзчику</t>
  </si>
  <si>
    <t>Изменение контракта (№, дата)</t>
  </si>
  <si>
    <t>Расторжение контракта (№, дата)</t>
  </si>
  <si>
    <t>Примечание</t>
  </si>
  <si>
    <t>Сумма расторжения</t>
  </si>
  <si>
    <t>Сроки поставки товара (оказания услуги, выполнения работы), согласно договора/контракта; Предоставление документов на оплату Заказчику</t>
  </si>
  <si>
    <t>Общая сумма расторжений по контрактам/договорам</t>
  </si>
  <si>
    <t xml:space="preserve">ИНН поставщика (подрядчика, исполнителя) </t>
  </si>
  <si>
    <t>Наименование муниципальной программы, национального или регионального проекта</t>
  </si>
  <si>
    <t>123</t>
  </si>
  <si>
    <t>Несостоявшиеся аукционы</t>
  </si>
  <si>
    <t xml:space="preserve">Ед. поставщик п.4 ч.1 </t>
  </si>
  <si>
    <t>Ед. поставщик п. 5 ч. 1</t>
  </si>
  <si>
    <t>Ед.поставщик за искл. п.4,5 ч.1</t>
  </si>
  <si>
    <t>п.4 (остаток)</t>
  </si>
  <si>
    <t>п.5 (остаток)</t>
  </si>
  <si>
    <t>п.5 (50% СГОЗ)</t>
  </si>
  <si>
    <t>Муниципальная программа "Развитие образования"</t>
  </si>
  <si>
    <t>№ 1</t>
  </si>
  <si>
    <t>902 0113 1310110490 244</t>
  </si>
  <si>
    <t>Поставка бумаги для офисной техники</t>
  </si>
  <si>
    <t>2353019514</t>
  </si>
  <si>
    <t>ИП Котляров К.И.</t>
  </si>
  <si>
    <t>В течение 15 рабочих дней, со дня подписания сторонами контракта</t>
  </si>
  <si>
    <t>Не позднее 30 календарных дней с момента подписания Заказчиком и Подрядчиком акта приема-сдачи и предоставленного Подрядчиком документа на оплату</t>
  </si>
  <si>
    <t>Пример</t>
  </si>
  <si>
    <t>Поставка электрической энергии</t>
  </si>
  <si>
    <t>9020104 5210000190244</t>
  </si>
  <si>
    <t>3235301125818100175</t>
  </si>
  <si>
    <t>АО "НЭСК"</t>
  </si>
  <si>
    <t>Поставка электрической энергии осуществляется постоянно, в течение срока действия контракта</t>
  </si>
  <si>
    <t>До 10 числа расчетного месяца в размере 30%, до 25 числа расчетного месяца 40%, до 18 числа месяца, следующего за расчетным</t>
  </si>
  <si>
    <t>0818300019919000194</t>
  </si>
  <si>
    <t xml:space="preserve">Поставка картриджа и тонер-картриджей </t>
  </si>
  <si>
    <t xml:space="preserve">193235301125823530100103000010000244 </t>
  </si>
  <si>
    <t>902 0113 1210310010 244</t>
  </si>
  <si>
    <t>Нет</t>
  </si>
  <si>
    <t>3235301125819000079</t>
  </si>
  <si>
    <t>Ф.2019.412162</t>
  </si>
  <si>
    <t xml:space="preserve"> ООО "АНАЛИТИК ЦЕНТР" </t>
  </si>
  <si>
    <t>3443923035</t>
  </si>
  <si>
    <t>В течение 20 рабочих дней со дня заключения сторонами муниципального контракта</t>
  </si>
  <si>
    <t>Не позднее 30 календарных дней с момента подписания Заказчиком документа о приемке выполненных работ и представленного Подрядчиком документа на оплату</t>
  </si>
  <si>
    <t>СМП и СОНО                       (да/нет)</t>
  </si>
  <si>
    <t>Иные конкурентные закупки</t>
  </si>
  <si>
    <t>TekStrokaP4</t>
  </si>
  <si>
    <t>TekNomerP4</t>
  </si>
  <si>
    <t>NachStrokaP4</t>
  </si>
  <si>
    <t>NachStrokaP5</t>
  </si>
  <si>
    <t>TekNomerP5</t>
  </si>
  <si>
    <t>TekStrokaP5</t>
  </si>
  <si>
    <t>TekStrokaSt93</t>
  </si>
  <si>
    <t>TekNomerSt93</t>
  </si>
  <si>
    <t>NachStrokaSt93</t>
  </si>
  <si>
    <t>TekStrokaSEA</t>
  </si>
  <si>
    <t>TekNomerSEA</t>
  </si>
  <si>
    <t>NachStrokaSEA</t>
  </si>
  <si>
    <t>TekStrokaNEA</t>
  </si>
  <si>
    <t>TekNomerNEA</t>
  </si>
  <si>
    <t>NachStrokaNEA</t>
  </si>
  <si>
    <t>TekStrokaIKZ</t>
  </si>
  <si>
    <t>TekNomerIKZ</t>
  </si>
  <si>
    <t>NachStrokaIKZ</t>
  </si>
  <si>
    <t xml:space="preserve">Ед. поставщик п.5 ч.1 </t>
  </si>
  <si>
    <t>Изменение контракта (увеличение цены контракта в рублях)</t>
  </si>
  <si>
    <t>Изменение контракта (уменьшение цены контракта в рублях)</t>
  </si>
  <si>
    <t>Сумма расторжения в рублях</t>
  </si>
  <si>
    <t>СМП и СОНО                       (Да/Нет)</t>
  </si>
  <si>
    <t>09.01.2020</t>
  </si>
  <si>
    <t>Index</t>
  </si>
  <si>
    <t>Index+1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</si>
  <si>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</si>
  <si>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</si>
  <si>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</si>
  <si>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</si>
  <si>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</si>
  <si>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</si>
  <si>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</si>
  <si>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</si>
  <si>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</si>
  <si>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</si>
  <si>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</si>
  <si>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</si>
  <si>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</si>
  <si>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</si>
  <si>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</si>
  <si>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</si>
  <si>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</si>
  <si>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</si>
  <si>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</si>
  <si>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</si>
  <si>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</si>
  <si>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</si>
  <si>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</si>
  <si>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</si>
  <si>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</si>
  <si>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</si>
  <si>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</si>
  <si>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Сумма средств выплаченных по контрактам</t>
  </si>
  <si>
    <t>29</t>
  </si>
  <si>
    <t>Сумма начальных (максимальных) цен контрактов</t>
  </si>
  <si>
    <t>п.4 (10% от СГОЗ или 2 000 000)</t>
  </si>
  <si>
    <t>Наименование организации:</t>
  </si>
  <si>
    <t>Расторжение контракта по соглашению сторон</t>
  </si>
  <si>
    <t>Всего</t>
  </si>
  <si>
    <t>Не позднее 30 календарных дней с момента подписания акта приема-сдачи и документа на оплату</t>
  </si>
  <si>
    <t>Контракт заключен в электронном виде посредством                             АИС "Портал поставщиков"   (Да/Нет)</t>
  </si>
  <si>
    <t>нет</t>
  </si>
  <si>
    <t>925 0000 0000000000 244</t>
  </si>
  <si>
    <t>Оказание охранных услуг</t>
  </si>
  <si>
    <t>Оказание услуг по обращению с твердыми коммунальными отходами</t>
  </si>
  <si>
    <t>ПАО "ТНС энерго Кубань"</t>
  </si>
  <si>
    <t>ООО "Коммунальник"</t>
  </si>
  <si>
    <t>до 25 числа</t>
  </si>
  <si>
    <t>1401</t>
  </si>
  <si>
    <t>Поставка тепловой энергии</t>
  </si>
  <si>
    <t>АО "АТЭК"</t>
  </si>
  <si>
    <t>Согласно графика</t>
  </si>
  <si>
    <t>ООО "Тимашевское ПРТ Райпо"</t>
  </si>
  <si>
    <t>ООО "КАНкорт"</t>
  </si>
  <si>
    <t>Дератизационные работы</t>
  </si>
  <si>
    <t>2353018870</t>
  </si>
  <si>
    <t>ООО "Дезинфекция"</t>
  </si>
  <si>
    <t>по мере необходимости</t>
  </si>
  <si>
    <t>Работы по сервисному обслуживанию УУТЭ</t>
  </si>
  <si>
    <t>235301271520</t>
  </si>
  <si>
    <t>ИП Дудкин</t>
  </si>
  <si>
    <t>согласно приложения 1</t>
  </si>
  <si>
    <t>235305769122</t>
  </si>
  <si>
    <t>ИП Барма</t>
  </si>
  <si>
    <t>ПАО "Ростелеком"</t>
  </si>
  <si>
    <t>ООО "Альянс Розница"</t>
  </si>
  <si>
    <t>ООО "Сигнал"</t>
  </si>
  <si>
    <t>2353002302</t>
  </si>
  <si>
    <t>№ 39-С</t>
  </si>
  <si>
    <t>ТО установки системы пожарного мониторинга "Стрелец-мониторинг"</t>
  </si>
  <si>
    <t>согласно графика</t>
  </si>
  <si>
    <t>МБОУ СОШ №6</t>
  </si>
  <si>
    <t>ООО ЧОО "Легион"</t>
  </si>
  <si>
    <t>АО "Мусороуборочная компания"</t>
  </si>
  <si>
    <t>да</t>
  </si>
  <si>
    <t>Поставка бензина Аи-92</t>
  </si>
  <si>
    <t>В течение 7 рабочих дней с момента подписания Заказчиком и Подрядчиком акта приема-сдачи и предоставленного Подрядчиком документа на оплату</t>
  </si>
  <si>
    <t>Холодное водоснабжение</t>
  </si>
  <si>
    <t>В течение 1 квартала 2023 г</t>
  </si>
  <si>
    <t>До 25 числа каждого месяца</t>
  </si>
  <si>
    <t>Электроэнергия</t>
  </si>
  <si>
    <t>30 % до 10 числа, 40 % до 25 числа</t>
  </si>
  <si>
    <t>До 10 числа месяца, следующего за отчетным</t>
  </si>
  <si>
    <t>925 0000 0000000000 247</t>
  </si>
  <si>
    <t>Оказание услуг по организации горячего питания обучающихся по образовательным программам начального общего образования в МБОУ СОШ № 6 (1-4 классы)</t>
  </si>
  <si>
    <t>23070500203</t>
  </si>
  <si>
    <t>20456/ТМ</t>
  </si>
  <si>
    <t>Централизованная охрана объекта (ктс)</t>
  </si>
  <si>
    <t>2310163739</t>
  </si>
  <si>
    <t>ФГКУ "УВО ВНГ России по Краснодарскому краю" ОВО по Тимашевскому району</t>
  </si>
  <si>
    <t>925 0000 0000000000244</t>
  </si>
  <si>
    <t>Ремонт автобуса</t>
  </si>
  <si>
    <t>ИП Аполонов</t>
  </si>
  <si>
    <t>Оказание услуг по организации питания учащихся (6-10 р)</t>
  </si>
  <si>
    <t>925  0000 0000000000 244</t>
  </si>
  <si>
    <t>оказание услуг по организации питания инвалидов</t>
  </si>
  <si>
    <t>оказание услуг по организации питания детей с ОВЗ</t>
  </si>
  <si>
    <t>оказание услуг по организации горячегопитания детей с овз</t>
  </si>
  <si>
    <t>Оказание услуг связи</t>
  </si>
  <si>
    <t>7707049388</t>
  </si>
  <si>
    <t>166-Б2</t>
  </si>
  <si>
    <t>То автоматических установок пожарной сигнализации</t>
  </si>
  <si>
    <t>2369000660</t>
  </si>
  <si>
    <t>Техническое обслуживание ГЛОНАСС</t>
  </si>
  <si>
    <t>ДГ-23/82</t>
  </si>
  <si>
    <t>ремонт морозильной камеры</t>
  </si>
  <si>
    <t>235300206670</t>
  </si>
  <si>
    <t>ИП Логинов</t>
  </si>
  <si>
    <t>Оказание услуг предрейсового и послерейсового медицинского и технического контроля, стоянка транспортного контроля, ТО-1, ТО-2.</t>
  </si>
  <si>
    <t>50/23</t>
  </si>
  <si>
    <t>Образовательные услуги</t>
  </si>
  <si>
    <t>6140004535</t>
  </si>
  <si>
    <t>ООО "Учитель-инфо"</t>
  </si>
  <si>
    <t>Проведение оценки</t>
  </si>
  <si>
    <t>2335015365</t>
  </si>
  <si>
    <t>СОЮЗ "ТПП"</t>
  </si>
  <si>
    <t>ООО "ВторИнвестЮг"</t>
  </si>
  <si>
    <t>6162076156</t>
  </si>
  <si>
    <t>Оценка техсостояния работоспособности техники</t>
  </si>
  <si>
    <t>поставка товара</t>
  </si>
  <si>
    <t>ИП Латышев</t>
  </si>
  <si>
    <t>223235301409723530100100130018010244</t>
  </si>
  <si>
    <t>0818300019922000336001</t>
  </si>
  <si>
    <t>0818300019922000336</t>
  </si>
  <si>
    <t>22.85</t>
  </si>
  <si>
    <t>13/23</t>
  </si>
  <si>
    <t>обучение</t>
  </si>
  <si>
    <t>2327014502</t>
  </si>
  <si>
    <t>ООО "БОЦ"</t>
  </si>
  <si>
    <t>оказание услуг по организации питания обучающихся 1-4 классы</t>
  </si>
  <si>
    <t>В течение 10 рабочих дней с момента подписания Заказчиком и Подрядчиком акта приема-сдачи и предоставленного Подрядчиком документа на оплату</t>
  </si>
  <si>
    <t>1-4 классы услуга по приготовлению</t>
  </si>
  <si>
    <t>оказание услуг по организации питания детей мобилизованных</t>
  </si>
  <si>
    <t>утилизация</t>
  </si>
  <si>
    <t>1/2023/19</t>
  </si>
  <si>
    <t>экскурсия</t>
  </si>
  <si>
    <t>2310052884</t>
  </si>
  <si>
    <t>ГБУК КК "КГИАМЗ им. Е.Д. Фелицына"</t>
  </si>
  <si>
    <t>30 % предоплата, окончательный расчет в течение 5 рабочих дней</t>
  </si>
  <si>
    <t>Панель светодиодная, лампочки</t>
  </si>
  <si>
    <t>235307112879</t>
  </si>
  <si>
    <t>ИП Деревянко</t>
  </si>
  <si>
    <t>37</t>
  </si>
  <si>
    <t>Хозтовары</t>
  </si>
  <si>
    <t>Дез средства</t>
  </si>
  <si>
    <t>233235301409723530100100100018020244</t>
  </si>
  <si>
    <t>0818300019923000058</t>
  </si>
  <si>
    <t xml:space="preserve">Оказание услуг по техническому обслуживанию объектовой станции системы пожарного мониторинга ПАК "Стрелец-мониторинг" 
</t>
  </si>
  <si>
    <t>0818300019923000058001</t>
  </si>
  <si>
    <t>Не позднее 7 рабочих дней с момента подписания Заказчиком документа о приемке выполненных работ и представленного Подрядчиком документа на оплату</t>
  </si>
  <si>
    <t>КС1/388-23</t>
  </si>
  <si>
    <t>научно-технические услуги</t>
  </si>
  <si>
    <t>2312038420</t>
  </si>
  <si>
    <t>ФГБОУ ВО "КубГУ"</t>
  </si>
  <si>
    <t>ИП Черниговский</t>
  </si>
  <si>
    <t>235300600997</t>
  </si>
  <si>
    <t>73-ЭО</t>
  </si>
  <si>
    <t>услуги по экологии</t>
  </si>
  <si>
    <t>235306110100</t>
  </si>
  <si>
    <t>ИП Казерова</t>
  </si>
  <si>
    <t>питание</t>
  </si>
  <si>
    <t>К056931/23</t>
  </si>
  <si>
    <t>обслуживание системы Контур экстерн</t>
  </si>
  <si>
    <t>6663003127</t>
  </si>
  <si>
    <t>АО "Производственная фирма "СКБ Контур"</t>
  </si>
  <si>
    <t>ООО "АйТи Мониторинг"</t>
  </si>
  <si>
    <t>2311187588</t>
  </si>
  <si>
    <t>обслуживание в удостоверяющем центре</t>
  </si>
  <si>
    <t>АТ00-004491</t>
  </si>
  <si>
    <t>51</t>
  </si>
  <si>
    <t>А0047506</t>
  </si>
  <si>
    <t>поставка учебников</t>
  </si>
  <si>
    <t>АО "Издательство "Просвещение"</t>
  </si>
  <si>
    <t>233235301409723530100100110015629244</t>
  </si>
  <si>
    <t>0818300019923000067</t>
  </si>
  <si>
    <t>Оказание услуг по организации питания</t>
  </si>
  <si>
    <t>2353020735</t>
  </si>
  <si>
    <t>ООО "Тимашевское ПРТ райпо"</t>
  </si>
  <si>
    <t>В течение 10 рабочих дней после подписания акта приема-передачи</t>
  </si>
  <si>
    <t>23-10541</t>
  </si>
  <si>
    <t>ООО "СпецБланк-Москва"</t>
  </si>
  <si>
    <t>7706526550</t>
  </si>
  <si>
    <t>аттестаты</t>
  </si>
  <si>
    <t>ИП Тарануха</t>
  </si>
  <si>
    <t>233003348389</t>
  </si>
  <si>
    <t>118-ТО</t>
  </si>
  <si>
    <t>техосмотр</t>
  </si>
  <si>
    <t>2023.095793</t>
  </si>
  <si>
    <t>бензин</t>
  </si>
  <si>
    <t>ООО "Процессинговая компания"</t>
  </si>
  <si>
    <t>УПД</t>
  </si>
  <si>
    <t>2310132554</t>
  </si>
  <si>
    <t>ООО "Краснодарский учколлектор"</t>
  </si>
  <si>
    <t>63</t>
  </si>
  <si>
    <t>товар</t>
  </si>
  <si>
    <t>в течение 7 рабочих дней</t>
  </si>
  <si>
    <t>66</t>
  </si>
  <si>
    <t>учебно-наглядное пособие</t>
  </si>
  <si>
    <t>2350009645</t>
  </si>
  <si>
    <t>ООО "Художественный салон "Сокол"</t>
  </si>
  <si>
    <t>питание сво</t>
  </si>
  <si>
    <t>услуга сво</t>
  </si>
  <si>
    <t>4348/212</t>
  </si>
  <si>
    <t>подписка</t>
  </si>
  <si>
    <t>7724490000</t>
  </si>
  <si>
    <t>АО "Почта России"</t>
  </si>
  <si>
    <t>В течение 10 рабочих дней предоплата</t>
  </si>
  <si>
    <t>70-77</t>
  </si>
  <si>
    <t>ученическая мебель</t>
  </si>
  <si>
    <t>233907290277</t>
  </si>
  <si>
    <t>ИП Орехова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</si>
</sst>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7" formatCode="#,##0.00\ &quot;₽&quot;;\-#,##0.00\ &quot;₽&quot;"/>
    <numFmt numFmtId="164" formatCode="#,##0.00\ &quot;₽&quot;"/>
    <numFmt numFmtId="165" formatCode="[$-F800]dddd\,\ mmmm\ dd\,\ yyyy"/>
    <numFmt numFmtId="166" formatCode="#,##0.00&quot;р.&quot;"/>
    <numFmt numFmtId="167" formatCode="0_ ;\-0\ "/>
    <numFmt numFmtId="168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20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2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7">
    <xf numFmtId="0" fontId="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2" fillId="0" borderId="0" applyNumberFormat="0" applyFill="0" applyBorder="0" applyAlignment="0" applyProtection="0"/>
  </cellStyleXfs>
  <cellXfs count="53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6" fontId="3" fillId="0" borderId="6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166" fontId="4" fillId="0" borderId="6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65" fontId="1" fillId="2" borderId="13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Alignment="1">
      <alignment horizontal="center" vertical="center" wrapText="1"/>
    </xf>
    <xf numFmtId="7" fontId="1" fillId="2" borderId="1" xfId="0" applyNumberFormat="1" applyFont="1" applyFill="1" applyBorder="1" applyAlignment="1">
      <alignment horizontal="center" vertical="center" wrapText="1"/>
    </xf>
    <xf numFmtId="7" fontId="1" fillId="3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7" fontId="1" fillId="0" borderId="0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165" fontId="1" fillId="0" borderId="0" xfId="0" applyNumberFormat="1" applyFont="1" applyFill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4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3" fillId="0" borderId="0" xfId="6" applyFont="1" applyBorder="1" applyAlignment="1">
      <alignment horizontal="center" vertical="center" wrapText="1"/>
    </xf>
    <xf numFmtId="0" fontId="15" fillId="0" borderId="0" xfId="1" applyFont="1" applyBorder="1" applyAlignment="1">
      <alignment horizontal="center" vertical="center" wrapText="1"/>
    </xf>
    <xf numFmtId="0" fontId="13" fillId="5" borderId="1" xfId="4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center" wrapText="1"/>
    </xf>
    <xf numFmtId="0" fontId="13" fillId="6" borderId="1" xfId="4" applyFont="1" applyFill="1" applyBorder="1" applyAlignment="1">
      <alignment horizontal="center" vertical="center" wrapText="1"/>
    </xf>
    <xf numFmtId="0" fontId="13" fillId="6" borderId="1" xfId="1" applyFont="1" applyFill="1" applyBorder="1" applyAlignment="1">
      <alignment horizontal="center" vertical="center" wrapText="1"/>
    </xf>
    <xf numFmtId="0" fontId="13" fillId="7" borderId="1" xfId="4" applyFont="1" applyFill="1" applyBorder="1" applyAlignment="1">
      <alignment horizontal="center" vertical="center" wrapText="1"/>
    </xf>
    <xf numFmtId="0" fontId="13" fillId="7" borderId="1" xfId="1" applyFont="1" applyFill="1" applyBorder="1" applyAlignment="1">
      <alignment horizontal="center" vertical="center" wrapText="1"/>
    </xf>
    <xf numFmtId="0" fontId="13" fillId="8" borderId="1" xfId="4" applyFont="1" applyFill="1" applyBorder="1" applyAlignment="1">
      <alignment horizontal="center" vertical="center" wrapText="1"/>
    </xf>
    <xf numFmtId="0" fontId="13" fillId="8" borderId="1" xfId="1" applyFont="1" applyFill="1" applyBorder="1" applyAlignment="1">
      <alignment horizontal="center" vertical="center" wrapText="1"/>
    </xf>
    <xf numFmtId="0" fontId="13" fillId="9" borderId="1" xfId="4" applyFont="1" applyFill="1" applyBorder="1" applyAlignment="1">
      <alignment horizontal="center" vertical="center" wrapText="1"/>
    </xf>
    <xf numFmtId="0" fontId="13" fillId="9" borderId="1" xfId="1" applyFont="1" applyFill="1" applyBorder="1" applyAlignment="1">
      <alignment horizontal="center" vertical="center" wrapText="1"/>
    </xf>
    <xf numFmtId="0" fontId="13" fillId="10" borderId="1" xfId="1" applyFont="1" applyFill="1" applyBorder="1" applyAlignment="1">
      <alignment horizontal="center" vertical="center" wrapText="1"/>
    </xf>
    <xf numFmtId="0" fontId="13" fillId="10" borderId="1" xfId="4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165" fontId="1" fillId="2" borderId="14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7" fontId="1" fillId="2" borderId="14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165" fontId="1" fillId="3" borderId="14" xfId="0" applyNumberFormat="1" applyFont="1" applyFill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168" fontId="1" fillId="3" borderId="14" xfId="0" applyNumberFormat="1" applyFont="1" applyFill="1" applyBorder="1" applyAlignment="1">
      <alignment horizontal="center" vertical="center" wrapText="1"/>
    </xf>
    <xf numFmtId="0" fontId="13" fillId="10" borderId="14" xfId="1" applyFont="1" applyFill="1" applyBorder="1" applyAlignment="1">
      <alignment horizontal="center" vertical="center" wrapText="1"/>
    </xf>
    <xf numFmtId="0" fontId="13" fillId="6" borderId="14" xfId="1" applyFont="1" applyFill="1" applyBorder="1" applyAlignment="1">
      <alignment horizontal="center" vertical="center" wrapText="1"/>
    </xf>
    <xf numFmtId="0" fontId="13" fillId="7" borderId="14" xfId="1" applyFont="1" applyFill="1" applyBorder="1" applyAlignment="1">
      <alignment horizontal="center" vertical="center" wrapText="1"/>
    </xf>
    <xf numFmtId="0" fontId="13" fillId="9" borderId="14" xfId="1" applyFont="1" applyFill="1" applyBorder="1" applyAlignment="1">
      <alignment horizontal="center" vertical="center" wrapText="1"/>
    </xf>
    <xf numFmtId="0" fontId="13" fillId="8" borderId="14" xfId="1" applyFont="1" applyFill="1" applyBorder="1" applyAlignment="1">
      <alignment horizontal="center" vertical="center" wrapText="1"/>
    </xf>
    <xf numFmtId="0" fontId="13" fillId="5" borderId="14" xfId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7" fontId="1" fillId="11" borderId="6" xfId="0" applyNumberFormat="1" applyFont="1" applyFill="1" applyBorder="1" applyAlignment="1">
      <alignment horizontal="center" vertical="center" wrapText="1"/>
    </xf>
    <xf numFmtId="7" fontId="1" fillId="13" borderId="6" xfId="0" applyNumberFormat="1" applyFont="1" applyFill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165" fontId="1" fillId="3" borderId="15" xfId="0" applyNumberFormat="1" applyFont="1" applyFill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14" fontId="1" fillId="3" borderId="15" xfId="0" applyNumberFormat="1" applyFont="1" applyFill="1" applyBorder="1" applyAlignment="1">
      <alignment horizontal="center" vertical="center" wrapText="1"/>
    </xf>
    <xf numFmtId="1" fontId="1" fillId="3" borderId="15" xfId="0" applyNumberFormat="1" applyFont="1" applyFill="1" applyBorder="1" applyAlignment="1">
      <alignment horizontal="center" vertical="center" wrapText="1"/>
    </xf>
    <xf numFmtId="2" fontId="1" fillId="3" borderId="14" xfId="0" applyNumberFormat="1" applyFont="1" applyFill="1" applyBorder="1" applyAlignment="1">
      <alignment horizontal="center" vertical="center" wrapText="1"/>
    </xf>
    <xf numFmtId="164" fontId="1" fillId="14" borderId="6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 wrapText="1"/>
    </xf>
    <xf numFmtId="164" fontId="1" fillId="16" borderId="6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" fontId="1" fillId="3" borderId="14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18" borderId="0" xfId="0" applyFont="1" applyFill="1" applyBorder="1" applyAlignment="1">
      <alignment horizontal="center" vertical="center" wrapText="1"/>
    </xf>
    <xf numFmtId="0" fontId="1" fillId="18" borderId="0" xfId="0" applyFont="1" applyFill="1" applyAlignment="1">
      <alignment horizontal="center" vertical="center" wrapText="1"/>
    </xf>
    <xf numFmtId="49" fontId="1" fillId="4" borderId="0" xfId="0" applyNumberFormat="1" applyFont="1" applyFill="1" applyBorder="1" applyAlignment="1">
      <alignment horizontal="center" vertical="center" wrapText="1"/>
    </xf>
    <xf numFmtId="49" fontId="1" fillId="4" borderId="0" xfId="0" applyNumberFormat="1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2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3" xfId="0" applyNumberFormat="1" applyFont="1" applyFill="1" applyBorder="1" applyAlignment="1">
      <alignment horizontal="center" vertical="center" wrapText="1"/>
    </xf>
    <xf numFmtId="49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3" xfId="0" applyNumberFormat="1" applyFont="1" applyFill="1" applyBorder="1" applyAlignment="1">
      <alignment horizontal="center" vertical="center" wrapText="1"/>
    </xf>
    <xf numFmtId="167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0" fontId="1" fillId="18" borderId="23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1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8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1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49" fontId="1" fillId="18" borderId="33" xfId="0" applyNumberFormat="1" applyFont="1" applyFill="1" applyBorder="1" applyAlignment="1">
      <alignment horizontal="center" vertical="center" wrapText="1"/>
    </xf>
    <xf numFmtId="49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3" xfId="0" applyNumberFormat="1" applyFont="1" applyFill="1" applyBorder="1" applyAlignment="1">
      <alignment horizontal="center" vertical="center" wrapText="1"/>
    </xf>
    <xf numFmtId="168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3" xfId="0" applyFont="1" applyFill="1" applyBorder="1" applyAlignment="1" applyProtection="1">
      <alignment horizontal="center" vertical="center" wrapText="1"/>
      <protection locked="0"/>
    </xf>
    <xf numFmtId="167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8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3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0" xfId="0" applyFont="1" applyFill="1" applyAlignment="1" applyProtection="1">
      <alignment horizontal="center" vertical="center" wrapText="1"/>
      <protection locked="0"/>
    </xf>
    <xf numFmtId="0" fontId="1" fillId="18" borderId="42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49" fontId="1" fillId="18" borderId="42" xfId="0" applyNumberFormat="1" applyFont="1" applyFill="1" applyBorder="1" applyAlignment="1">
      <alignment horizontal="center" vertical="center" wrapText="1"/>
    </xf>
    <xf numFmtId="49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2" xfId="0" applyNumberFormat="1" applyFont="1" applyFill="1" applyBorder="1" applyAlignment="1">
      <alignment horizontal="center" vertical="center" wrapText="1"/>
    </xf>
    <xf numFmtId="165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4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5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0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3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0" fontId="1" fillId="18" borderId="54" xfId="0" applyFont="1" applyFill="1" applyBorder="1" applyAlignment="1" applyProtection="1">
      <alignment horizontal="center" vertical="center" wrapText="1"/>
      <protection locked="0"/>
    </xf>
    <xf numFmtId="49" fontId="1" fillId="18" borderId="54" xfId="0" applyNumberFormat="1" applyFont="1" applyFill="1" applyBorder="1" applyAlignment="1">
      <alignment horizontal="center" vertical="center" wrapText="1"/>
    </xf>
    <xf numFmtId="49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4" xfId="0" applyNumberFormat="1" applyFont="1" applyFill="1" applyBorder="1" applyAlignment="1">
      <alignment horizontal="center" vertical="center" wrapText="1"/>
    </xf>
    <xf numFmtId="168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6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6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7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16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4" fontId="4" fillId="0" borderId="16" xfId="0" applyNumberFormat="1" applyFont="1" applyFill="1" applyBorder="1" applyAlignment="1">
      <alignment horizontal="center" vertical="center" wrapText="1"/>
    </xf>
    <xf numFmtId="4" fontId="4" fillId="0" borderId="18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3" fillId="0" borderId="16" xfId="0" applyNumberFormat="1" applyFont="1" applyFill="1" applyBorder="1" applyAlignment="1">
      <alignment horizontal="center" vertical="center" wrapText="1"/>
    </xf>
    <xf numFmtId="4" fontId="3" fillId="0" borderId="17" xfId="0" applyNumberFormat="1" applyFont="1" applyFill="1" applyBorder="1" applyAlignment="1">
      <alignment horizontal="center" vertical="center" wrapText="1"/>
    </xf>
    <xf numFmtId="4" fontId="3" fillId="0" borderId="18" xfId="0" applyNumberFormat="1" applyFont="1" applyFill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64" fontId="3" fillId="0" borderId="18" xfId="0" applyNumberFormat="1" applyFont="1" applyBorder="1" applyAlignment="1">
      <alignment horizontal="center" vertical="center" wrapText="1"/>
    </xf>
    <xf numFmtId="0" fontId="5" fillId="15" borderId="3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0" fontId="5" fillId="15" borderId="5" xfId="0" applyFont="1" applyFill="1" applyBorder="1" applyAlignment="1">
      <alignment horizontal="center" vertical="center" wrapText="1"/>
    </xf>
    <xf numFmtId="0" fontId="6" fillId="15" borderId="3" xfId="0" applyFont="1" applyFill="1" applyBorder="1" applyAlignment="1">
      <alignment horizontal="center" vertical="center" wrapText="1"/>
    </xf>
    <xf numFmtId="0" fontId="6" fillId="15" borderId="4" xfId="0" applyFont="1" applyFill="1" applyBorder="1" applyAlignment="1">
      <alignment horizontal="center" vertical="center" wrapText="1"/>
    </xf>
    <xf numFmtId="0" fontId="6" fillId="15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7" fillId="12" borderId="3" xfId="0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 wrapText="1"/>
    </xf>
    <xf numFmtId="0" fontId="7" fillId="12" borderId="5" xfId="0" applyFont="1" applyFill="1" applyBorder="1" applyAlignment="1">
      <alignment horizontal="center" vertical="center" wrapText="1"/>
    </xf>
    <xf numFmtId="0" fontId="7" fillId="13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2" fillId="17" borderId="3" xfId="0" applyFont="1" applyFill="1" applyBorder="1" applyAlignment="1">
      <alignment horizontal="center" vertical="center" wrapText="1"/>
    </xf>
    <xf numFmtId="0" fontId="2" fillId="17" borderId="4" xfId="0" applyFont="1" applyFill="1" applyBorder="1" applyAlignment="1">
      <alignment horizontal="center" vertical="center" wrapText="1"/>
    </xf>
    <xf numFmtId="0" fontId="2" fillId="17" borderId="5" xfId="0" applyFont="1" applyFill="1" applyBorder="1" applyAlignment="1">
      <alignment horizontal="center" vertical="center" wrapText="1"/>
    </xf>
    <xf numFmtId="0" fontId="8" fillId="12" borderId="8" xfId="0" applyFont="1" applyFill="1" applyBorder="1" applyAlignment="1">
      <alignment horizontal="center" vertical="center" wrapText="1"/>
    </xf>
    <xf numFmtId="0" fontId="8" fillId="12" borderId="9" xfId="0" applyFont="1" applyFill="1" applyBorder="1" applyAlignment="1">
      <alignment horizontal="center" vertical="center" wrapText="1"/>
    </xf>
    <xf numFmtId="0" fontId="8" fillId="12" borderId="10" xfId="0" applyFont="1" applyFill="1" applyBorder="1" applyAlignment="1">
      <alignment horizontal="center" vertical="center" wrapText="1"/>
    </xf>
    <xf numFmtId="0" fontId="8" fillId="12" borderId="11" xfId="0" applyFont="1" applyFill="1" applyBorder="1" applyAlignment="1">
      <alignment horizontal="center" vertical="center" wrapText="1"/>
    </xf>
    <xf numFmtId="0" fontId="8" fillId="12" borderId="7" xfId="0" applyFont="1" applyFill="1" applyBorder="1" applyAlignment="1">
      <alignment horizontal="center" vertical="center" wrapText="1"/>
    </xf>
    <xf numFmtId="0" fontId="8" fillId="12" borderId="12" xfId="0" applyFont="1" applyFill="1" applyBorder="1" applyAlignment="1">
      <alignment horizontal="center" vertical="center" wrapText="1"/>
    </xf>
    <xf numFmtId="164" fontId="9" fillId="2" borderId="8" xfId="0" applyNumberFormat="1" applyFont="1" applyFill="1" applyBorder="1" applyAlignment="1">
      <alignment horizontal="center" vertical="center" wrapText="1"/>
    </xf>
    <xf numFmtId="164" fontId="9" fillId="2" borderId="9" xfId="0" applyNumberFormat="1" applyFont="1" applyFill="1" applyBorder="1" applyAlignment="1">
      <alignment horizontal="center" vertical="center" wrapText="1"/>
    </xf>
    <xf numFmtId="164" fontId="9" fillId="2" borderId="10" xfId="0" applyNumberFormat="1" applyFont="1" applyFill="1" applyBorder="1" applyAlignment="1">
      <alignment horizontal="center" vertical="center" wrapText="1"/>
    </xf>
    <xf numFmtId="164" fontId="9" fillId="2" borderId="11" xfId="0" applyNumberFormat="1" applyFont="1" applyFill="1" applyBorder="1" applyAlignment="1">
      <alignment horizontal="center" vertical="center" wrapText="1"/>
    </xf>
    <xf numFmtId="164" fontId="9" fillId="2" borderId="7" xfId="0" applyNumberFormat="1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49" fontId="1" fillId="18" borderId="55" xfId="0" applyNumberFormat="1" applyFont="1" applyFill="1" applyBorder="1" applyAlignment="1">
      <alignment horizontal="center" vertical="center" wrapText="1"/>
    </xf>
    <xf numFmtId="49" fontId="1" fillId="18" borderId="57" xfId="0" applyNumberFormat="1" applyFont="1" applyFill="1" applyBorder="1" applyAlignment="1">
      <alignment horizontal="center" vertical="center" wrapText="1"/>
    </xf>
    <xf numFmtId="14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5" xfId="0" applyFont="1" applyFill="1" applyBorder="1" applyAlignment="1" applyProtection="1">
      <alignment horizontal="center" vertical="center" wrapText="1"/>
      <protection locked="0"/>
    </xf>
    <xf numFmtId="0" fontId="1" fillId="18" borderId="57" xfId="0" applyFont="1" applyFill="1" applyBorder="1" applyAlignment="1" applyProtection="1">
      <alignment horizontal="center" vertical="center" wrapText="1"/>
      <protection locked="0"/>
    </xf>
    <xf numFmtId="0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5" xfId="0" applyNumberFormat="1" applyFont="1" applyFill="1" applyBorder="1" applyAlignment="1">
      <alignment horizontal="center" vertical="center" wrapText="1"/>
    </xf>
    <xf numFmtId="4" fontId="1" fillId="18" borderId="57" xfId="0" applyNumberFormat="1" applyFont="1" applyFill="1" applyBorder="1" applyAlignment="1">
      <alignment horizontal="center" vertical="center" wrapText="1"/>
    </xf>
    <xf numFmtId="0" fontId="1" fillId="18" borderId="56" xfId="0" applyFont="1" applyFill="1" applyBorder="1" applyAlignment="1" applyProtection="1">
      <alignment horizontal="center" vertical="center" wrapText="1"/>
      <protection locked="0"/>
    </xf>
    <xf numFmtId="49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6" xfId="0" applyNumberFormat="1" applyFont="1" applyFill="1" applyBorder="1" applyAlignment="1">
      <alignment horizontal="center" vertical="center" wrapText="1"/>
    </xf>
    <xf numFmtId="49" fontId="1" fillId="18" borderId="56" xfId="0" applyNumberFormat="1" applyFont="1" applyFill="1" applyBorder="1" applyAlignment="1">
      <alignment horizontal="center" vertical="center" wrapText="1"/>
    </xf>
    <xf numFmtId="168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55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56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5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3" xfId="0" applyNumberFormat="1" applyFont="1" applyFill="1" applyBorder="1" applyAlignment="1">
      <alignment horizontal="center" vertical="center" wrapText="1"/>
    </xf>
    <xf numFmtId="49" fontId="1" fillId="18" borderId="44" xfId="0" applyNumberFormat="1" applyFont="1" applyFill="1" applyBorder="1" applyAlignment="1">
      <alignment horizontal="center" vertical="center" wrapText="1"/>
    </xf>
    <xf numFmtId="49" fontId="1" fillId="18" borderId="45" xfId="0" applyNumberFormat="1" applyFont="1" applyFill="1" applyBorder="1" applyAlignment="1">
      <alignment horizontal="center" vertical="center" wrapText="1"/>
    </xf>
    <xf numFmtId="1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3" xfId="0" applyFont="1" applyFill="1" applyBorder="1" applyAlignment="1" applyProtection="1">
      <alignment horizontal="center" vertical="center" wrapText="1"/>
      <protection locked="0"/>
    </xf>
    <xf numFmtId="0" fontId="1" fillId="18" borderId="44" xfId="0" applyFont="1" applyFill="1" applyBorder="1" applyAlignment="1" applyProtection="1">
      <alignment horizontal="center" vertical="center" wrapText="1"/>
      <protection locked="0"/>
    </xf>
    <xf numFmtId="0" fontId="1" fillId="18" borderId="45" xfId="0" applyFont="1" applyFill="1" applyBorder="1" applyAlignment="1" applyProtection="1">
      <alignment horizontal="center" vertical="center" wrapText="1"/>
      <protection locked="0"/>
    </xf>
    <xf numFmtId="165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3" xfId="0" applyNumberFormat="1" applyFont="1" applyFill="1" applyBorder="1" applyAlignment="1">
      <alignment horizontal="center" vertical="center" wrapText="1"/>
    </xf>
    <xf numFmtId="4" fontId="1" fillId="18" borderId="44" xfId="0" applyNumberFormat="1" applyFont="1" applyFill="1" applyBorder="1" applyAlignment="1">
      <alignment horizontal="center" vertical="center" wrapText="1"/>
    </xf>
    <xf numFmtId="4" fontId="1" fillId="18" borderId="45" xfId="0" applyNumberFormat="1" applyFont="1" applyFill="1" applyBorder="1" applyAlignment="1">
      <alignment horizontal="center" vertical="center" wrapText="1"/>
    </xf>
    <xf numFmtId="0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0" xfId="0" applyNumberFormat="1" applyFont="1" applyFill="1" applyBorder="1" applyAlignment="1">
      <alignment horizontal="center" vertical="center" wrapText="1"/>
    </xf>
    <xf numFmtId="4" fontId="1" fillId="18" borderId="21" xfId="0" applyNumberFormat="1" applyFont="1" applyFill="1" applyBorder="1" applyAlignment="1">
      <alignment horizontal="center" vertical="center" wrapText="1"/>
    </xf>
    <xf numFmtId="4" fontId="1" fillId="18" borderId="22" xfId="0" applyNumberFormat="1" applyFont="1" applyFill="1" applyBorder="1" applyAlignment="1">
      <alignment horizontal="center" vertical="center" wrapText="1"/>
    </xf>
    <xf numFmtId="49" fontId="1" fillId="18" borderId="20" xfId="0" applyNumberFormat="1" applyFont="1" applyFill="1" applyBorder="1" applyAlignment="1">
      <alignment horizontal="center" vertical="center" wrapText="1"/>
    </xf>
    <xf numFmtId="49" fontId="1" fillId="18" borderId="21" xfId="0" applyNumberFormat="1" applyFont="1" applyFill="1" applyBorder="1" applyAlignment="1">
      <alignment horizontal="center" vertical="center" wrapText="1"/>
    </xf>
    <xf numFmtId="49" fontId="1" fillId="18" borderId="22" xfId="0" applyNumberFormat="1" applyFont="1" applyFill="1" applyBorder="1" applyAlignment="1">
      <alignment horizontal="center" vertical="center" wrapText="1"/>
    </xf>
    <xf numFmtId="14" fontId="1" fillId="4" borderId="20" xfId="0" applyNumberFormat="1" applyFont="1" applyFill="1" applyBorder="1" applyAlignment="1" applyProtection="1">
      <alignment horizontal="center" vertical="center" wrapText="1"/>
      <protection locked="0"/>
    </xf>
    <xf numFmtId="14" fontId="1" fillId="4" borderId="21" xfId="0" applyNumberFormat="1" applyFont="1" applyFill="1" applyBorder="1" applyAlignment="1" applyProtection="1">
      <alignment horizontal="center" vertical="center" wrapText="1"/>
      <protection locked="0"/>
    </xf>
    <xf numFmtId="14" fontId="1" fillId="4" borderId="2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4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22" xfId="0" applyNumberFormat="1" applyFont="1" applyFill="1" applyBorder="1" applyAlignment="1" applyProtection="1">
      <alignment horizontal="center" vertical="center" wrapText="1"/>
      <protection locked="0"/>
    </xf>
    <xf numFmtId="14" fontId="1" fillId="4" borderId="55" xfId="0" applyNumberFormat="1" applyFont="1" applyFill="1" applyBorder="1" applyAlignment="1" applyProtection="1">
      <alignment horizontal="center" vertical="center" wrapText="1"/>
      <protection locked="0"/>
    </xf>
    <xf numFmtId="14" fontId="1" fillId="4" borderId="56" xfId="0" applyNumberFormat="1" applyFont="1" applyFill="1" applyBorder="1" applyAlignment="1" applyProtection="1">
      <alignment horizontal="center" vertical="center" wrapText="1"/>
      <protection locked="0"/>
    </xf>
    <xf numFmtId="14" fontId="1" fillId="4" borderId="57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0" xfId="0" applyFont="1" applyFill="1" applyBorder="1" applyAlignment="1" applyProtection="1">
      <alignment horizontal="center" vertical="center" wrapText="1"/>
      <protection locked="0"/>
    </xf>
    <xf numFmtId="0" fontId="1" fillId="18" borderId="21" xfId="0" applyFont="1" applyFill="1" applyBorder="1" applyAlignment="1" applyProtection="1">
      <alignment horizontal="center" vertical="center" wrapText="1"/>
      <protection locked="0"/>
    </xf>
    <xf numFmtId="0" fontId="1" fillId="18" borderId="22" xfId="0" applyFont="1" applyFill="1" applyBorder="1" applyAlignment="1" applyProtection="1">
      <alignment horizontal="center" vertical="center" wrapText="1"/>
      <protection locked="0"/>
    </xf>
    <xf numFmtId="0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4" xfId="0" applyNumberFormat="1" applyFont="1" applyFill="1" applyBorder="1" applyAlignment="1">
      <alignment horizontal="center" vertical="center" wrapText="1"/>
    </xf>
    <xf numFmtId="49" fontId="1" fillId="18" borderId="37" xfId="0" applyNumberFormat="1" applyFont="1" applyFill="1" applyBorder="1" applyAlignment="1">
      <alignment horizontal="center" vertical="center" wrapText="1"/>
    </xf>
    <xf numFmtId="1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6" xfId="0" applyFont="1" applyFill="1" applyBorder="1" applyAlignment="1" applyProtection="1">
      <alignment horizontal="center" vertical="center" wrapText="1"/>
      <protection locked="0"/>
    </xf>
    <xf numFmtId="0" fontId="1" fillId="18" borderId="39" xfId="0" applyFont="1" applyFill="1" applyBorder="1" applyAlignment="1" applyProtection="1">
      <alignment horizontal="center" vertical="center" wrapText="1"/>
      <protection locked="0"/>
    </xf>
    <xf numFmtId="0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5" xfId="0" applyNumberFormat="1" applyFont="1" applyFill="1" applyBorder="1" applyAlignment="1">
      <alignment horizontal="center" vertical="center" wrapText="1"/>
    </xf>
    <xf numFmtId="4" fontId="1" fillId="18" borderId="38" xfId="0" applyNumberFormat="1" applyFont="1" applyFill="1" applyBorder="1" applyAlignment="1">
      <alignment horizontal="center" vertical="center" wrapText="1"/>
    </xf>
    <xf numFmtId="164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4" xfId="0" applyNumberFormat="1" applyFont="1" applyFill="1" applyBorder="1" applyAlignment="1">
      <alignment horizontal="center" vertical="center" wrapText="1"/>
    </xf>
    <xf numFmtId="49" fontId="1" fillId="18" borderId="30" xfId="0" applyNumberFormat="1" applyFont="1" applyFill="1" applyBorder="1" applyAlignment="1">
      <alignment horizontal="center" vertical="center" wrapText="1"/>
    </xf>
    <xf numFmtId="49" fontId="1" fillId="18" borderId="27" xfId="0" applyNumberFormat="1" applyFont="1" applyFill="1" applyBorder="1" applyAlignment="1">
      <alignment horizontal="center" vertical="center" wrapText="1"/>
    </xf>
    <xf numFmtId="1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10" borderId="5" xfId="0" applyNumberFormat="1" applyFont="1" applyFill="1" applyBorder="1" applyAlignment="1">
      <alignment horizontal="center" vertical="center" wrapText="1"/>
    </xf>
    <xf numFmtId="16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6" xfId="0" applyFont="1" applyFill="1" applyBorder="1" applyAlignment="1" applyProtection="1">
      <alignment horizontal="center" vertical="center" wrapText="1"/>
      <protection locked="0"/>
    </xf>
    <xf numFmtId="0" fontId="1" fillId="18" borderId="32" xfId="0" applyFont="1" applyFill="1" applyBorder="1" applyAlignment="1" applyProtection="1">
      <alignment horizontal="center" vertical="center" wrapText="1"/>
      <protection locked="0"/>
    </xf>
    <xf numFmtId="0" fontId="1" fillId="18" borderId="29" xfId="0" applyFont="1" applyFill="1" applyBorder="1" applyAlignment="1" applyProtection="1">
      <alignment horizontal="center" vertical="center" wrapText="1"/>
      <protection locked="0"/>
    </xf>
    <xf numFmtId="165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>
      <alignment horizontal="center" vertical="center" wrapText="1"/>
    </xf>
    <xf numFmtId="4" fontId="1" fillId="18" borderId="31" xfId="0" applyNumberFormat="1" applyFont="1" applyFill="1" applyBorder="1" applyAlignment="1">
      <alignment horizontal="center" vertical="center" wrapText="1"/>
    </xf>
    <xf numFmtId="4" fontId="1" fillId="18" borderId="28" xfId="0" applyNumberFormat="1" applyFont="1" applyFill="1" applyBorder="1" applyAlignment="1">
      <alignment horizontal="center" vertical="center" wrapText="1"/>
    </xf>
    <xf numFmtId="16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2" xfId="0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>
      <alignment horizontal="center" vertical="center" wrapText="1"/>
    </xf>
    <xf numFmtId="167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>
      <alignment horizontal="center" vertical="center" wrapText="1"/>
    </xf>
    <xf numFmtId="1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8" xfId="0" applyFont="1" applyFill="1" applyBorder="1" applyAlignment="1" applyProtection="1">
      <alignment horizontal="center" vertical="center" wrapText="1"/>
      <protection locked="0"/>
    </xf>
    <xf numFmtId="0" fontId="1" fillId="18" borderId="51" xfId="0" applyFont="1" applyFill="1" applyBorder="1" applyAlignment="1" applyProtection="1">
      <alignment horizontal="center" vertical="center" wrapText="1"/>
      <protection locked="0"/>
    </xf>
    <xf numFmtId="0" fontId="1" fillId="18" borderId="54" xfId="0" applyFont="1" applyFill="1" applyBorder="1" applyAlignment="1" applyProtection="1">
      <alignment horizontal="center" vertical="center" wrapText="1"/>
      <protection locked="0"/>
    </xf>
    <xf numFmtId="4" fontId="1" fillId="18" borderId="47" xfId="0" applyNumberFormat="1" applyFont="1" applyFill="1" applyBorder="1" applyAlignment="1">
      <alignment horizontal="center" vertical="center" wrapText="1"/>
    </xf>
    <xf numFmtId="4" fontId="1" fillId="18" borderId="50" xfId="0" applyNumberFormat="1" applyFont="1" applyFill="1" applyBorder="1" applyAlignment="1">
      <alignment horizontal="center" vertical="center" wrapText="1"/>
    </xf>
    <xf numFmtId="4" fontId="1" fillId="18" borderId="53" xfId="0" applyNumberFormat="1" applyFont="1" applyFill="1" applyBorder="1" applyAlignment="1">
      <alignment horizontal="center" vertical="center" wrapText="1"/>
    </xf>
    <xf numFmtId="1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0" fontId="1" fillId="10" borderId="0" xfId="0" applyFont="1" applyFill="1" applyBorder="1" applyAlignment="1">
      <alignment horizontal="center" vertical="center" wrapText="1"/>
    </xf>
    <xf numFmtId="0" fontId="1" fillId="10" borderId="19" xfId="0" applyFont="1" applyFill="1" applyBorder="1" applyAlignment="1">
      <alignment horizontal="center" vertical="center" wrapText="1"/>
    </xf>
    <xf numFmtId="49" fontId="1" fillId="18" borderId="46" xfId="0" applyNumberFormat="1" applyFont="1" applyFill="1" applyBorder="1" applyAlignment="1">
      <alignment horizontal="center" vertical="center" wrapText="1"/>
    </xf>
    <xf numFmtId="49" fontId="1" fillId="18" borderId="49" xfId="0" applyNumberFormat="1" applyFont="1" applyFill="1" applyBorder="1" applyAlignment="1">
      <alignment horizontal="center" vertical="center" wrapText="1"/>
    </xf>
    <xf numFmtId="49" fontId="1" fillId="18" borderId="52" xfId="0" applyNumberFormat="1" applyFont="1" applyFill="1" applyBorder="1" applyAlignment="1">
      <alignment horizontal="center" vertical="center" wrapText="1"/>
    </xf>
    <xf numFmtId="1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0" xfId="0" applyFont="1" applyFill="1" applyBorder="1" applyAlignment="1" applyProtection="1">
      <alignment horizontal="center" vertical="center" wrapText="1"/>
      <protection locked="0"/>
    </xf>
    <xf numFmtId="0" fontId="1" fillId="18" borderId="63" xfId="0" applyFont="1" applyFill="1" applyBorder="1" applyAlignment="1" applyProtection="1">
      <alignment horizontal="center" vertical="center" wrapText="1"/>
      <protection locked="0"/>
    </xf>
    <xf numFmtId="0" fontId="1" fillId="18" borderId="66" xfId="0" applyFont="1" applyFill="1" applyBorder="1" applyAlignment="1" applyProtection="1">
      <alignment horizontal="center" vertical="center" wrapText="1"/>
      <protection locked="0"/>
    </xf>
    <xf numFmtId="4" fontId="1" fillId="18" borderId="59" xfId="0" applyNumberFormat="1" applyFont="1" applyFill="1" applyBorder="1" applyAlignment="1">
      <alignment horizontal="center" vertical="center" wrapText="1"/>
    </xf>
    <xf numFmtId="4" fontId="1" fillId="18" borderId="62" xfId="0" applyNumberFormat="1" applyFont="1" applyFill="1" applyBorder="1" applyAlignment="1">
      <alignment horizontal="center" vertical="center" wrapText="1"/>
    </xf>
    <xf numFmtId="4" fontId="1" fillId="18" borderId="65" xfId="0" applyNumberFormat="1" applyFont="1" applyFill="1" applyBorder="1" applyAlignment="1">
      <alignment horizontal="center" vertical="center" wrapText="1"/>
    </xf>
    <xf numFmtId="14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8" xfId="0" applyNumberFormat="1" applyFont="1" applyFill="1" applyBorder="1" applyAlignment="1">
      <alignment horizontal="center" vertical="center" wrapText="1"/>
    </xf>
    <xf numFmtId="49" fontId="1" fillId="18" borderId="61" xfId="0" applyNumberFormat="1" applyFont="1" applyFill="1" applyBorder="1" applyAlignment="1">
      <alignment horizontal="center" vertical="center" wrapText="1"/>
    </xf>
    <xf numFmtId="49" fontId="1" fillId="18" borderId="64" xfId="0" applyNumberFormat="1" applyFont="1" applyFill="1" applyBorder="1" applyAlignment="1">
      <alignment horizontal="center" vertical="center" wrapText="1"/>
    </xf>
    <xf numFmtId="0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9" xfId="0" applyFont="1" applyFill="1" applyBorder="1" applyAlignment="1" applyProtection="1">
      <alignment horizontal="center" vertical="center" wrapText="1"/>
      <protection locked="0"/>
    </xf>
    <xf numFmtId="0" fontId="1" fillId="18" borderId="62" xfId="0" applyFont="1" applyFill="1" applyBorder="1" applyAlignment="1" applyProtection="1">
      <alignment horizontal="center" vertical="center" wrapText="1"/>
      <protection locked="0"/>
    </xf>
    <xf numFmtId="0" fontId="1" fillId="18" borderId="65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3" fillId="10" borderId="13" xfId="1" applyFont="1" applyFill="1" applyBorder="1" applyAlignment="1">
      <alignment horizontal="center" vertical="center" wrapText="1"/>
    </xf>
    <xf numFmtId="0" fontId="13" fillId="10" borderId="2" xfId="1" applyFont="1" applyFill="1" applyBorder="1" applyAlignment="1">
      <alignment horizontal="center" vertical="center" wrapText="1"/>
    </xf>
    <xf numFmtId="0" fontId="13" fillId="8" borderId="13" xfId="1" applyFont="1" applyFill="1" applyBorder="1" applyAlignment="1">
      <alignment horizontal="center" vertical="center" wrapText="1"/>
    </xf>
    <xf numFmtId="0" fontId="13" fillId="8" borderId="2" xfId="1" applyFont="1" applyFill="1" applyBorder="1" applyAlignment="1">
      <alignment horizontal="center" vertical="center" wrapText="1"/>
    </xf>
    <xf numFmtId="0" fontId="13" fillId="9" borderId="13" xfId="1" applyFont="1" applyFill="1" applyBorder="1" applyAlignment="1">
      <alignment horizontal="center" vertical="center" wrapText="1"/>
    </xf>
    <xf numFmtId="0" fontId="13" fillId="9" borderId="2" xfId="1" applyFont="1" applyFill="1" applyBorder="1" applyAlignment="1">
      <alignment horizontal="center" vertical="center" wrapText="1"/>
    </xf>
    <xf numFmtId="0" fontId="13" fillId="7" borderId="13" xfId="1" applyFont="1" applyFill="1" applyBorder="1" applyAlignment="1">
      <alignment horizontal="center" vertical="center" wrapText="1"/>
    </xf>
    <xf numFmtId="0" fontId="13" fillId="7" borderId="2" xfId="1" applyFont="1" applyFill="1" applyBorder="1" applyAlignment="1">
      <alignment horizontal="center" vertical="center" wrapText="1"/>
    </xf>
    <xf numFmtId="0" fontId="13" fillId="6" borderId="13" xfId="1" applyFont="1" applyFill="1" applyBorder="1" applyAlignment="1">
      <alignment horizontal="center" vertical="center" wrapText="1"/>
    </xf>
    <xf numFmtId="0" fontId="13" fillId="6" borderId="2" xfId="1" applyFont="1" applyFill="1" applyBorder="1" applyAlignment="1">
      <alignment horizontal="center" vertical="center" wrapText="1"/>
    </xf>
  </cellXfs>
  <cellStyles count="7">
    <cellStyle name="Гиперссылка" xfId="6" builtinId="8"/>
    <cellStyle name="Обычный" xfId="0" builtinId="0"/>
    <cellStyle name="Обычный 2" xfId="2"/>
    <cellStyle name="Обычный 2 2" xfId="5"/>
    <cellStyle name="Обычный 2 3" xfId="3"/>
    <cellStyle name="Обычный 3" xfId="1"/>
    <cellStyle name="Обычный 4" xfId="4"/>
  </cellStyles>
  <dxfs count="0"/>
  <tableStyles count="0" defaultTableStyle="TableStyleMedium2" defaultPivotStyle="PivotStyleLight16"/>
  <colors>
    <mruColors>
      <color rgb="FFFF9999"/>
      <color rgb="FFA30101"/>
      <color rgb="FFFF6D6D"/>
      <color rgb="FF00FF00"/>
      <color rgb="FF8FFF8F"/>
      <color rgb="FFAAFE22"/>
      <color rgb="FFCEF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1828800</xdr:colOff>
      <xdr:row>2</xdr:row>
      <xdr:rowOff>238950</xdr:rowOff>
    </xdr:from>
    <xdr:to>
      <xdr:col>8</xdr:col>
      <xdr:colOff>673650</xdr:colOff>
      <xdr:row>3</xdr:row>
      <xdr:rowOff>495300</xdr:rowOff>
    </xdr:to>
    <xdr:sp macro="[0]!ДобавитьКонтрактП4" textlink="">
      <xdr:nvSpPr>
        <xdr:cNvPr id="2" name="Скругленный прямоугольник 1"/>
        <xdr:cNvSpPr>
          <a:spLocks/>
        </xdr:cNvSpPr>
      </xdr:nvSpPr>
      <xdr:spPr>
        <a:xfrm>
          <a:off x="10972800" y="10009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 fPrintsWithSheet="0"/>
  </xdr:twoCellAnchor>
  <xdr:oneCellAnchor>
    <xdr:from>
      <xdr:col>6</xdr:col>
      <xdr:colOff>467591</xdr:colOff>
      <xdr:row>4</xdr:row>
      <xdr:rowOff>69273</xdr:rowOff>
    </xdr:from>
    <xdr:ext cx="184731" cy="264560"/>
    <xdr:sp macro="" textlink="">
      <xdr:nvSpPr>
        <xdr:cNvPr id="3" name="TextBox 2"/>
        <xdr:cNvSpPr txBox="1"/>
      </xdr:nvSpPr>
      <xdr:spPr>
        <a:xfrm>
          <a:off x="11585864" y="1697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16</xdr:col>
      <xdr:colOff>742950</xdr:colOff>
      <xdr:row>2</xdr:row>
      <xdr:rowOff>238950</xdr:rowOff>
    </xdr:from>
    <xdr:to>
      <xdr:col>20</xdr:col>
      <xdr:colOff>178350</xdr:colOff>
      <xdr:row>3</xdr:row>
      <xdr:rowOff>495300</xdr:rowOff>
    </xdr:to>
    <xdr:sp macro="[0]!ДобавитьППАктП4" textlink="">
      <xdr:nvSpPr>
        <xdr:cNvPr id="4" name="Скругленный прямоугольник 3"/>
        <xdr:cNvSpPr/>
      </xdr:nvSpPr>
      <xdr:spPr>
        <a:xfrm>
          <a:off x="32061150" y="10009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oneCell">
    <xdr:from>
      <xdr:col>10</xdr:col>
      <xdr:colOff>877800</xdr:colOff>
      <xdr:row>3</xdr:row>
      <xdr:rowOff>0</xdr:rowOff>
    </xdr:from>
    <xdr:to>
      <xdr:col>13</xdr:col>
      <xdr:colOff>541800</xdr:colOff>
      <xdr:row>3</xdr:row>
      <xdr:rowOff>504000</xdr:rowOff>
    </xdr:to>
    <xdr:sp macro="[0]!УдалитьСтрокуП4" textlink="">
      <xdr:nvSpPr>
        <xdr:cNvPr id="5" name="Скругленный прямоугольник 4"/>
        <xdr:cNvSpPr/>
      </xdr:nvSpPr>
      <xdr:spPr>
        <a:xfrm>
          <a:off x="20651700" y="1009650"/>
          <a:ext cx="5760000" cy="504000"/>
        </a:xfrm>
        <a:prstGeom prst="roundRect">
          <a:avLst/>
        </a:prstGeom>
        <a:gradFill flip="none" rotWithShape="1"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  <a:tileRect/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  <a:r>
            <a:rPr lang="ru-RU" sz="3600" b="1" baseline="0">
              <a:solidFill>
                <a:schemeClr val="tx1"/>
              </a:solidFill>
            </a:rPr>
            <a:t> 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349826</xdr:colOff>
      <xdr:row>3</xdr:row>
      <xdr:rowOff>6924</xdr:rowOff>
    </xdr:from>
    <xdr:to>
      <xdr:col>13</xdr:col>
      <xdr:colOff>1080626</xdr:colOff>
      <xdr:row>3</xdr:row>
      <xdr:rowOff>501399</xdr:rowOff>
    </xdr:to>
    <xdr:sp macro="[0]!УдалитьСтрокуП5" textlink="">
      <xdr:nvSpPr>
        <xdr:cNvPr id="3" name="Скругленный прямоугольник 2"/>
        <xdr:cNvSpPr/>
      </xdr:nvSpPr>
      <xdr:spPr>
        <a:xfrm>
          <a:off x="20142776" y="1016574"/>
          <a:ext cx="5760000" cy="494475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6</xdr:col>
      <xdr:colOff>61478</xdr:colOff>
      <xdr:row>2</xdr:row>
      <xdr:rowOff>228600</xdr:rowOff>
    </xdr:from>
    <xdr:to>
      <xdr:col>8</xdr:col>
      <xdr:colOff>1420928</xdr:colOff>
      <xdr:row>3</xdr:row>
      <xdr:rowOff>484950</xdr:rowOff>
    </xdr:to>
    <xdr:sp macro="[0]!ДобавитьКонтрактП5" textlink="">
      <xdr:nvSpPr>
        <xdr:cNvPr id="4" name="Скругленный прямоугольник 3"/>
        <xdr:cNvSpPr/>
      </xdr:nvSpPr>
      <xdr:spPr>
        <a:xfrm>
          <a:off x="11415278" y="99060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14</xdr:col>
      <xdr:colOff>2346612</xdr:colOff>
      <xdr:row>3</xdr:row>
      <xdr:rowOff>0</xdr:rowOff>
    </xdr:from>
    <xdr:to>
      <xdr:col>18</xdr:col>
      <xdr:colOff>619962</xdr:colOff>
      <xdr:row>3</xdr:row>
      <xdr:rowOff>509154</xdr:rowOff>
    </xdr:to>
    <xdr:sp macro="[0]!ДобавитьППАктП5" textlink="">
      <xdr:nvSpPr>
        <xdr:cNvPr id="5" name="Скругленный прямоугольник 4"/>
        <xdr:cNvSpPr/>
      </xdr:nvSpPr>
      <xdr:spPr>
        <a:xfrm>
          <a:off x="29054712" y="100965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12150</xdr:colOff>
      <xdr:row>3</xdr:row>
      <xdr:rowOff>0</xdr:rowOff>
    </xdr:from>
    <xdr:to>
      <xdr:col>6</xdr:col>
      <xdr:colOff>1771650</xdr:colOff>
      <xdr:row>3</xdr:row>
      <xdr:rowOff>507423</xdr:rowOff>
    </xdr:to>
    <xdr:sp macro="[0]!ДобавитьКонтрактSt93" textlink="">
      <xdr:nvSpPr>
        <xdr:cNvPr id="2" name="Скругленный прямоугольник 1"/>
        <xdr:cNvSpPr/>
      </xdr:nvSpPr>
      <xdr:spPr>
        <a:xfrm>
          <a:off x="6889200" y="1009650"/>
          <a:ext cx="5760000" cy="507423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16</xdr:col>
      <xdr:colOff>0</xdr:colOff>
      <xdr:row>2</xdr:row>
      <xdr:rowOff>228600</xdr:rowOff>
    </xdr:from>
    <xdr:to>
      <xdr:col>19</xdr:col>
      <xdr:colOff>559350</xdr:colOff>
      <xdr:row>3</xdr:row>
      <xdr:rowOff>490104</xdr:rowOff>
    </xdr:to>
    <xdr:sp macro="[0]!ДобавитьППАктSt93" textlink="">
      <xdr:nvSpPr>
        <xdr:cNvPr id="5" name="Скругленный прямоугольник 4"/>
        <xdr:cNvSpPr/>
      </xdr:nvSpPr>
      <xdr:spPr>
        <a:xfrm>
          <a:off x="30346650" y="99060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absolute">
    <xdr:from>
      <xdr:col>11</xdr:col>
      <xdr:colOff>6926</xdr:colOff>
      <xdr:row>3</xdr:row>
      <xdr:rowOff>0</xdr:rowOff>
    </xdr:from>
    <xdr:to>
      <xdr:col>13</xdr:col>
      <xdr:colOff>680576</xdr:colOff>
      <xdr:row>3</xdr:row>
      <xdr:rowOff>507422</xdr:rowOff>
    </xdr:to>
    <xdr:sp macro="[0]!УдалитьСтрокуSt93" textlink="">
      <xdr:nvSpPr>
        <xdr:cNvPr id="6" name="Скругленный прямоугольник 5"/>
        <xdr:cNvSpPr/>
      </xdr:nvSpPr>
      <xdr:spPr>
        <a:xfrm>
          <a:off x="20352326" y="1009650"/>
          <a:ext cx="5760000" cy="507422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564600</xdr:colOff>
      <xdr:row>3</xdr:row>
      <xdr:rowOff>29400</xdr:rowOff>
    </xdr:from>
    <xdr:to>
      <xdr:col>9</xdr:col>
      <xdr:colOff>1733550</xdr:colOff>
      <xdr:row>4</xdr:row>
      <xdr:rowOff>19050</xdr:rowOff>
    </xdr:to>
    <xdr:sp macro="[0]!ДобавитьКонтрактSEA" textlink="">
      <xdr:nvSpPr>
        <xdr:cNvPr id="2" name="Скругленный прямоугольник 1"/>
        <xdr:cNvSpPr/>
      </xdr:nvSpPr>
      <xdr:spPr>
        <a:xfrm>
          <a:off x="12909000" y="10390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13</xdr:col>
      <xdr:colOff>926550</xdr:colOff>
      <xdr:row>3</xdr:row>
      <xdr:rowOff>19050</xdr:rowOff>
    </xdr:from>
    <xdr:to>
      <xdr:col>16</xdr:col>
      <xdr:colOff>1295400</xdr:colOff>
      <xdr:row>4</xdr:row>
      <xdr:rowOff>8700</xdr:rowOff>
    </xdr:to>
    <xdr:sp macro="[0]!УдалитьСтрокуSEA" textlink="">
      <xdr:nvSpPr>
        <xdr:cNvPr id="3" name="Скругленный прямоугольник 2"/>
        <xdr:cNvSpPr/>
      </xdr:nvSpPr>
      <xdr:spPr>
        <a:xfrm>
          <a:off x="24110400" y="1028700"/>
          <a:ext cx="5760000" cy="504000"/>
        </a:xfrm>
        <a:prstGeom prst="roundRect">
          <a:avLst/>
        </a:prstGeom>
        <a:gradFill>
          <a:gsLst>
            <a:gs pos="61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2038350</xdr:colOff>
      <xdr:row>3</xdr:row>
      <xdr:rowOff>48450</xdr:rowOff>
    </xdr:from>
    <xdr:to>
      <xdr:col>23</xdr:col>
      <xdr:colOff>483150</xdr:colOff>
      <xdr:row>4</xdr:row>
      <xdr:rowOff>38100</xdr:rowOff>
    </xdr:to>
    <xdr:sp macro="[0]!ДобавитьППАктSEA" textlink="">
      <xdr:nvSpPr>
        <xdr:cNvPr id="4" name="Скругленный прямоугольник 3"/>
        <xdr:cNvSpPr/>
      </xdr:nvSpPr>
      <xdr:spPr>
        <a:xfrm>
          <a:off x="35128200" y="10581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1962150</xdr:colOff>
      <xdr:row>3</xdr:row>
      <xdr:rowOff>0</xdr:rowOff>
    </xdr:from>
    <xdr:to>
      <xdr:col>9</xdr:col>
      <xdr:colOff>883200</xdr:colOff>
      <xdr:row>3</xdr:row>
      <xdr:rowOff>504000</xdr:rowOff>
    </xdr:to>
    <xdr:sp macro="[0]!ДобавитьКонтрактNEA" textlink="">
      <xdr:nvSpPr>
        <xdr:cNvPr id="2" name="Скругленный прямоугольник 1"/>
        <xdr:cNvSpPr/>
      </xdr:nvSpPr>
      <xdr:spPr>
        <a:xfrm>
          <a:off x="12515850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1416626</xdr:colOff>
      <xdr:row>3</xdr:row>
      <xdr:rowOff>0</xdr:rowOff>
    </xdr:from>
    <xdr:to>
      <xdr:col>16</xdr:col>
      <xdr:colOff>70976</xdr:colOff>
      <xdr:row>3</xdr:row>
      <xdr:rowOff>504000</xdr:rowOff>
    </xdr:to>
    <xdr:sp macro="[0]!УдалитьСтрокуNEA" textlink="">
      <xdr:nvSpPr>
        <xdr:cNvPr id="5" name="Скругленный прямоугольник 4"/>
        <xdr:cNvSpPr/>
      </xdr:nvSpPr>
      <xdr:spPr>
        <a:xfrm>
          <a:off x="23343176" y="100965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819150</xdr:colOff>
      <xdr:row>2</xdr:row>
      <xdr:rowOff>209550</xdr:rowOff>
    </xdr:from>
    <xdr:to>
      <xdr:col>22</xdr:col>
      <xdr:colOff>864150</xdr:colOff>
      <xdr:row>3</xdr:row>
      <xdr:rowOff>465900</xdr:rowOff>
    </xdr:to>
    <xdr:sp macro="[0]!ДобавитьППАктNEA" textlink="">
      <xdr:nvSpPr>
        <xdr:cNvPr id="7" name="Скругленный прямоугольник 6"/>
        <xdr:cNvSpPr/>
      </xdr:nvSpPr>
      <xdr:spPr>
        <a:xfrm>
          <a:off x="34709100" y="9715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880628</xdr:colOff>
      <xdr:row>3</xdr:row>
      <xdr:rowOff>0</xdr:rowOff>
    </xdr:from>
    <xdr:to>
      <xdr:col>8</xdr:col>
      <xdr:colOff>1420928</xdr:colOff>
      <xdr:row>3</xdr:row>
      <xdr:rowOff>504000</xdr:rowOff>
    </xdr:to>
    <xdr:sp macro="[0]!ДобавитьКонтрактIKZ" textlink="">
      <xdr:nvSpPr>
        <xdr:cNvPr id="2" name="Скругленный прямоугольник 1"/>
        <xdr:cNvSpPr/>
      </xdr:nvSpPr>
      <xdr:spPr>
        <a:xfrm>
          <a:off x="11358128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1409700</xdr:colOff>
      <xdr:row>3</xdr:row>
      <xdr:rowOff>10350</xdr:rowOff>
    </xdr:from>
    <xdr:to>
      <xdr:col>16</xdr:col>
      <xdr:colOff>64050</xdr:colOff>
      <xdr:row>4</xdr:row>
      <xdr:rowOff>0</xdr:rowOff>
    </xdr:to>
    <xdr:sp macro="[0]!УдалитьСтрокуIKZ" textlink="">
      <xdr:nvSpPr>
        <xdr:cNvPr id="3" name="Скругленный прямоугольник 2"/>
        <xdr:cNvSpPr/>
      </xdr:nvSpPr>
      <xdr:spPr>
        <a:xfrm>
          <a:off x="23260050" y="102000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 fPrintsWithSheet="0"/>
  </xdr:twoCellAnchor>
  <xdr:twoCellAnchor editAs="absolute">
    <xdr:from>
      <xdr:col>19</xdr:col>
      <xdr:colOff>1136100</xdr:colOff>
      <xdr:row>3</xdr:row>
      <xdr:rowOff>10350</xdr:rowOff>
    </xdr:from>
    <xdr:to>
      <xdr:col>22</xdr:col>
      <xdr:colOff>1219200</xdr:colOff>
      <xdr:row>4</xdr:row>
      <xdr:rowOff>0</xdr:rowOff>
    </xdr:to>
    <xdr:sp macro="[0]!ДобавитьППАктIKZ" textlink="">
      <xdr:nvSpPr>
        <xdr:cNvPr id="4" name="Скругленный прямоугольник 3"/>
        <xdr:cNvSpPr/>
      </xdr:nvSpPr>
      <xdr:spPr>
        <a:xfrm>
          <a:off x="34606950" y="10200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rgb="FFFFFF00"/>
  </sheetPr>
  <dimension ref="A1:W20"/>
  <sheetViews>
    <sheetView showGridLines="0" topLeftCell="A4" zoomScale="70" zoomScaleNormal="70" workbookViewId="0">
      <selection activeCell="J15" sqref="J15:L15"/>
    </sheetView>
  </sheetViews>
  <sheetFormatPr defaultColWidth="0" defaultRowHeight="14.4" x14ac:dyDescent="0.3"/>
  <cols>
    <col min="1" max="2" width="9.109375" style="9" customWidth="1"/>
    <col min="3" max="3" width="25.33203125" style="9" customWidth="1"/>
    <col min="4" max="5" width="9.109375" style="9" customWidth="1"/>
    <col min="6" max="6" width="11.6640625" style="9" customWidth="1"/>
    <col min="7" max="7" width="19" style="9" customWidth="1"/>
    <col min="8" max="8" width="6.5546875" style="9" customWidth="1"/>
    <col min="9" max="9" width="5.5546875" style="9" customWidth="1"/>
    <col min="10" max="10" width="15" style="9" customWidth="1"/>
    <col min="11" max="11" width="14.88671875" style="9" customWidth="1"/>
    <col min="12" max="12" width="21.33203125" style="9" customWidth="1"/>
    <col min="13" max="13" width="10.109375" style="9" customWidth="1"/>
    <col min="14" max="14" width="17.109375" style="9" bestFit="1" customWidth="1"/>
    <col min="15" max="22" width="9.109375" style="9" hidden="1" customWidth="1"/>
    <col min="23" max="23" width="30.6640625" style="9" hidden="1" customWidth="1"/>
    <col min="24" max="16384" width="9.109375" style="9" hidden="1"/>
  </cols>
  <sheetData>
    <row r="1" spans="1:14" ht="27" customHeight="1" thickBot="1" x14ac:dyDescent="0.35">
      <c r="A1" s="276" t="s">
        <v>141</v>
      </c>
      <c r="B1" s="277"/>
      <c r="C1" s="277"/>
      <c r="D1" s="277"/>
      <c r="E1" s="276" t="s">
        <v>176</v>
      </c>
      <c r="F1" s="277"/>
      <c r="G1" s="277"/>
      <c r="H1" s="277"/>
      <c r="I1" s="277"/>
      <c r="J1" s="277"/>
      <c r="K1" s="277"/>
      <c r="L1" s="277"/>
      <c r="M1" s="277"/>
      <c r="N1" s="278"/>
    </row>
    <row r="3" spans="1:14" ht="15" thickBot="1" x14ac:dyDescent="0.35">
      <c r="I3" s="21"/>
      <c r="J3" s="21"/>
      <c r="K3" s="21"/>
      <c r="L3" s="21"/>
      <c r="M3" s="21"/>
      <c r="N3" s="21"/>
    </row>
    <row r="4" spans="1:14" ht="32.25" customHeight="1" thickBot="1" x14ac:dyDescent="0.35">
      <c r="A4" s="252" t="s">
        <v>25</v>
      </c>
      <c r="B4" s="253"/>
      <c r="C4" s="4">
        <v>8603485.9499999993</v>
      </c>
      <c r="D4" s="5"/>
      <c r="E4" s="254" t="s">
        <v>140</v>
      </c>
      <c r="F4" s="255"/>
      <c r="G4" s="256"/>
      <c r="H4" s="257">
        <v>2000000</v>
      </c>
      <c r="I4" s="258"/>
      <c r="J4" s="259"/>
      <c r="K4" s="22"/>
      <c r="L4" s="99" t="s">
        <v>55</v>
      </c>
      <c r="M4" s="254">
        <v>3869693.83</v>
      </c>
      <c r="N4" s="256"/>
    </row>
    <row r="5" spans="1:14" ht="30.75" customHeight="1" thickBot="1" x14ac:dyDescent="0.35">
      <c r="A5" s="252" t="s">
        <v>26</v>
      </c>
      <c r="B5" s="253"/>
      <c r="C5" s="6">
        <f>C4-G15+J15</f>
        <v>3147976.5699999989</v>
      </c>
      <c r="D5" s="5"/>
      <c r="E5" s="254" t="s">
        <v>53</v>
      </c>
      <c r="F5" s="255"/>
      <c r="G5" s="256"/>
      <c r="H5" s="244">
        <f>H4-G12</f>
        <v>1411408.28</v>
      </c>
      <c r="I5" s="245"/>
      <c r="J5" s="246"/>
      <c r="K5" s="22"/>
      <c r="L5" s="99" t="s">
        <v>54</v>
      </c>
      <c r="M5" s="247">
        <f>M4-G13</f>
        <v>1150425.2600000002</v>
      </c>
      <c r="N5" s="248"/>
    </row>
    <row r="6" spans="1:14" x14ac:dyDescent="0.3">
      <c r="C6" s="7"/>
      <c r="D6" s="10"/>
      <c r="E6" s="10"/>
      <c r="F6" s="10"/>
      <c r="G6" s="10"/>
      <c r="H6" s="10"/>
      <c r="I6" s="10"/>
      <c r="J6" s="10"/>
      <c r="K6" s="10"/>
      <c r="L6" s="10"/>
    </row>
    <row r="7" spans="1:14" ht="15" thickBot="1" x14ac:dyDescent="0.35"/>
    <row r="8" spans="1:14" ht="72" customHeight="1" thickBot="1" x14ac:dyDescent="0.35">
      <c r="A8" s="260" t="s">
        <v>27</v>
      </c>
      <c r="B8" s="261"/>
      <c r="C8" s="262"/>
      <c r="D8" s="260" t="s">
        <v>28</v>
      </c>
      <c r="E8" s="261"/>
      <c r="F8" s="262"/>
      <c r="G8" s="263" t="s">
        <v>29</v>
      </c>
      <c r="H8" s="264"/>
      <c r="I8" s="265"/>
      <c r="J8" s="263" t="s">
        <v>142</v>
      </c>
      <c r="K8" s="264"/>
      <c r="L8" s="265"/>
      <c r="M8" s="260" t="s">
        <v>30</v>
      </c>
      <c r="N8" s="262"/>
    </row>
    <row r="9" spans="1:14" ht="41.25" customHeight="1" thickBot="1" x14ac:dyDescent="0.35">
      <c r="A9" s="266" t="s">
        <v>31</v>
      </c>
      <c r="B9" s="267"/>
      <c r="C9" s="268"/>
      <c r="D9" s="269">
        <f>'Состоявшиеся аукционы'!G2</f>
        <v>26100</v>
      </c>
      <c r="E9" s="269"/>
      <c r="F9" s="269"/>
      <c r="G9" s="269">
        <f>'Состоявшиеся аукционы'!Q2</f>
        <v>25578</v>
      </c>
      <c r="H9" s="269"/>
      <c r="I9" s="269"/>
      <c r="J9" s="249">
        <f>'Состоявшиеся аукционы'!AB2</f>
        <v>0</v>
      </c>
      <c r="K9" s="251"/>
      <c r="L9" s="250"/>
      <c r="M9" s="269">
        <f t="shared" ref="M9:M15" si="0">D9-G9</f>
        <v>522</v>
      </c>
      <c r="N9" s="269"/>
    </row>
    <row r="10" spans="1:14" ht="78.75" customHeight="1" thickBot="1" x14ac:dyDescent="0.35">
      <c r="A10" s="266" t="s">
        <v>49</v>
      </c>
      <c r="B10" s="267"/>
      <c r="C10" s="268"/>
      <c r="D10" s="269">
        <f>'Несостоявшиеся аукционы'!G2</f>
        <v>763740.72</v>
      </c>
      <c r="E10" s="269"/>
      <c r="F10" s="269"/>
      <c r="G10" s="269">
        <f>'Несостоявшиеся аукционы'!Q2</f>
        <v>763740.72</v>
      </c>
      <c r="H10" s="269"/>
      <c r="I10" s="269"/>
      <c r="J10" s="249">
        <f>'Несостоявшиеся аукционы'!AB2</f>
        <v>0</v>
      </c>
      <c r="K10" s="251"/>
      <c r="L10" s="250"/>
      <c r="M10" s="269">
        <f t="shared" si="0"/>
        <v>0</v>
      </c>
      <c r="N10" s="269"/>
    </row>
    <row r="11" spans="1:14" ht="40.5" customHeight="1" thickBot="1" x14ac:dyDescent="0.35">
      <c r="A11" s="266" t="s">
        <v>83</v>
      </c>
      <c r="B11" s="267"/>
      <c r="C11" s="268"/>
      <c r="D11" s="249">
        <f>'Иные конкурентные закупки'!G2</f>
        <v>742848</v>
      </c>
      <c r="E11" s="251"/>
      <c r="F11" s="250"/>
      <c r="G11" s="249">
        <f>'Иные конкурентные закупки'!Q2</f>
        <v>683420.16000000003</v>
      </c>
      <c r="H11" s="251"/>
      <c r="I11" s="250"/>
      <c r="J11" s="249">
        <f>'Иные конкурентные закупки'!AB2</f>
        <v>0</v>
      </c>
      <c r="K11" s="251"/>
      <c r="L11" s="250"/>
      <c r="M11" s="249">
        <f t="shared" si="0"/>
        <v>59427.839999999967</v>
      </c>
      <c r="N11" s="250"/>
    </row>
    <row r="12" spans="1:14" ht="54.75" customHeight="1" thickBot="1" x14ac:dyDescent="0.35">
      <c r="A12" s="273" t="s">
        <v>50</v>
      </c>
      <c r="B12" s="274"/>
      <c r="C12" s="275"/>
      <c r="D12" s="269">
        <f>'Ед. поставщик п.4 ч.1'!H2</f>
        <v>588591.72</v>
      </c>
      <c r="E12" s="269"/>
      <c r="F12" s="269"/>
      <c r="G12" s="269">
        <f>D12</f>
        <v>588591.72</v>
      </c>
      <c r="H12" s="269"/>
      <c r="I12" s="269"/>
      <c r="J12" s="249">
        <f>'Ед. поставщик п.4 ч.1'!V2</f>
        <v>0</v>
      </c>
      <c r="K12" s="251"/>
      <c r="L12" s="250"/>
      <c r="M12" s="269">
        <f t="shared" si="0"/>
        <v>0</v>
      </c>
      <c r="N12" s="269"/>
    </row>
    <row r="13" spans="1:14" ht="45.75" customHeight="1" thickBot="1" x14ac:dyDescent="0.35">
      <c r="A13" s="273" t="s">
        <v>51</v>
      </c>
      <c r="B13" s="274"/>
      <c r="C13" s="275"/>
      <c r="D13" s="269">
        <f>'Ед. поставщик п.5 ч.1'!H2</f>
        <v>2719268.57</v>
      </c>
      <c r="E13" s="269"/>
      <c r="F13" s="269"/>
      <c r="G13" s="269">
        <f>D13</f>
        <v>2719268.57</v>
      </c>
      <c r="H13" s="269"/>
      <c r="I13" s="269"/>
      <c r="J13" s="249">
        <f>'Ед. поставщик п.5 ч.1'!V2</f>
        <v>97430.57</v>
      </c>
      <c r="K13" s="251"/>
      <c r="L13" s="250"/>
      <c r="M13" s="269">
        <f t="shared" si="0"/>
        <v>0</v>
      </c>
      <c r="N13" s="269"/>
    </row>
    <row r="14" spans="1:14" ht="45.75" customHeight="1" thickBot="1" x14ac:dyDescent="0.35">
      <c r="A14" s="291" t="s">
        <v>52</v>
      </c>
      <c r="B14" s="292"/>
      <c r="C14" s="293"/>
      <c r="D14" s="249">
        <f>'Ед.поставщик за искл. п.4,5 ч.1'!G2</f>
        <v>772340.78</v>
      </c>
      <c r="E14" s="251"/>
      <c r="F14" s="250"/>
      <c r="G14" s="249">
        <f>D14</f>
        <v>772340.78</v>
      </c>
      <c r="H14" s="251"/>
      <c r="I14" s="250"/>
      <c r="J14" s="249">
        <f>'Ед.поставщик за искл. п.4,5 ч.1'!T2</f>
        <v>0</v>
      </c>
      <c r="K14" s="251"/>
      <c r="L14" s="250"/>
      <c r="M14" s="269">
        <f t="shared" si="0"/>
        <v>0</v>
      </c>
      <c r="N14" s="269"/>
    </row>
    <row r="15" spans="1:14" ht="21.6" thickBot="1" x14ac:dyDescent="0.35">
      <c r="A15" s="270" t="s">
        <v>143</v>
      </c>
      <c r="B15" s="271"/>
      <c r="C15" s="272"/>
      <c r="D15" s="269">
        <f>SUM(D9:D14)</f>
        <v>5612889.79</v>
      </c>
      <c r="E15" s="269"/>
      <c r="F15" s="269"/>
      <c r="G15" s="249">
        <f>SUM(G9:G14)</f>
        <v>5552939.9500000002</v>
      </c>
      <c r="H15" s="251"/>
      <c r="I15" s="250"/>
      <c r="J15" s="249">
        <f>SUM(J9:J14)</f>
        <v>97430.57</v>
      </c>
      <c r="K15" s="251"/>
      <c r="L15" s="250"/>
      <c r="M15" s="269">
        <f t="shared" si="0"/>
        <v>59949.839999999851</v>
      </c>
      <c r="N15" s="269"/>
    </row>
    <row r="18" spans="1:12" ht="15" thickBot="1" x14ac:dyDescent="0.35"/>
    <row r="19" spans="1:12" ht="23.25" customHeight="1" x14ac:dyDescent="0.3">
      <c r="A19" s="279" t="s">
        <v>35</v>
      </c>
      <c r="B19" s="280"/>
      <c r="C19" s="281"/>
      <c r="D19" s="285">
        <f>'Ед. поставщик п.4 ч.1'!P2+'Ед. поставщик п.5 ч.1'!P2+'Ед.поставщик за искл. п.4,5 ч.1'!N2+'Состоявшиеся аукционы'!V2+'Несостоявшиеся аукционы'!V2+'Иные конкурентные закупки'!V2</f>
        <v>3095621.6300000004</v>
      </c>
      <c r="E19" s="286"/>
      <c r="F19" s="286"/>
      <c r="G19" s="287"/>
      <c r="I19" s="20"/>
      <c r="J19" s="20"/>
      <c r="K19" s="20"/>
      <c r="L19" s="20"/>
    </row>
    <row r="20" spans="1:12" ht="24" customHeight="1" thickBot="1" x14ac:dyDescent="0.35">
      <c r="A20" s="282"/>
      <c r="B20" s="283"/>
      <c r="C20" s="284"/>
      <c r="D20" s="288"/>
      <c r="E20" s="289"/>
      <c r="F20" s="289"/>
      <c r="G20" s="290"/>
      <c r="I20" s="20"/>
      <c r="J20" s="20"/>
      <c r="K20" s="20"/>
      <c r="L20" s="20"/>
    </row>
  </sheetData>
  <mergeCells count="52">
    <mergeCell ref="A1:D1"/>
    <mergeCell ref="E1:N1"/>
    <mergeCell ref="A19:C20"/>
    <mergeCell ref="D19:G20"/>
    <mergeCell ref="A14:C14"/>
    <mergeCell ref="D14:F14"/>
    <mergeCell ref="G14:I14"/>
    <mergeCell ref="M12:N12"/>
    <mergeCell ref="J12:L12"/>
    <mergeCell ref="A11:C11"/>
    <mergeCell ref="D11:F11"/>
    <mergeCell ref="G11:I11"/>
    <mergeCell ref="G12:I12"/>
    <mergeCell ref="A12:C12"/>
    <mergeCell ref="D12:F12"/>
    <mergeCell ref="M13:N13"/>
    <mergeCell ref="J13:L13"/>
    <mergeCell ref="A15:C15"/>
    <mergeCell ref="D15:F15"/>
    <mergeCell ref="G15:I15"/>
    <mergeCell ref="M15:N15"/>
    <mergeCell ref="J15:L15"/>
    <mergeCell ref="A13:C13"/>
    <mergeCell ref="D13:F13"/>
    <mergeCell ref="G13:I13"/>
    <mergeCell ref="J14:L14"/>
    <mergeCell ref="M14:N14"/>
    <mergeCell ref="D10:F10"/>
    <mergeCell ref="G10:I10"/>
    <mergeCell ref="M10:N10"/>
    <mergeCell ref="J10:L10"/>
    <mergeCell ref="A9:C9"/>
    <mergeCell ref="D9:F9"/>
    <mergeCell ref="G9:I9"/>
    <mergeCell ref="M9:N9"/>
    <mergeCell ref="J9:L9"/>
    <mergeCell ref="H5:J5"/>
    <mergeCell ref="M5:N5"/>
    <mergeCell ref="M11:N11"/>
    <mergeCell ref="J11:L11"/>
    <mergeCell ref="A4:B4"/>
    <mergeCell ref="E4:G4"/>
    <mergeCell ref="H4:J4"/>
    <mergeCell ref="M4:N4"/>
    <mergeCell ref="A5:B5"/>
    <mergeCell ref="A8:C8"/>
    <mergeCell ref="D8:F8"/>
    <mergeCell ref="G8:I8"/>
    <mergeCell ref="M8:N8"/>
    <mergeCell ref="J8:L8"/>
    <mergeCell ref="E5:G5"/>
    <mergeCell ref="A10:C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tabColor rgb="FFFF0000"/>
  </sheetPr>
  <dimension ref="A1:X74"/>
  <sheetViews>
    <sheetView showGridLines="0" tabSelected="1" topLeftCell="E1" zoomScale="50" zoomScaleNormal="50" workbookViewId="0">
      <pane ySplit="8" topLeftCell="A67" activePane="bottomLeft" state="frozen"/>
      <selection activeCell="I1" sqref="I1"/>
      <selection pane="bottomLeft" activeCell="P68" sqref="P68"/>
    </sheetView>
  </sheetViews>
  <sheetFormatPr defaultColWidth="0" defaultRowHeight="18" x14ac:dyDescent="0.3"/>
  <cols>
    <col min="1" max="1" width="9.109375" style="3" customWidth="1"/>
    <col min="2" max="3" width="35" style="3" customWidth="1"/>
    <col min="4" max="4" width="32.88671875" style="3" customWidth="1"/>
    <col min="5" max="5" width="23.33203125" style="12" customWidth="1"/>
    <col min="6" max="6" width="27.5546875" style="3" customWidth="1"/>
    <col min="7" max="7" width="49.109375" style="3" customWidth="1"/>
    <col min="8" max="8" width="26.88671875" style="11" customWidth="1"/>
    <col min="9" max="9" width="21.88671875" style="11" customWidth="1"/>
    <col min="10" max="10" width="33.5546875" style="3" customWidth="1"/>
    <col min="11" max="12" width="28.33203125" style="3" customWidth="1"/>
    <col min="13" max="13" width="34.88671875" style="3" customWidth="1"/>
    <col min="14" max="14" width="28.88671875" style="12" customWidth="1"/>
    <col min="15" max="15" width="28.88671875" style="3" customWidth="1"/>
    <col min="16" max="16" width="24" style="32" customWidth="1"/>
    <col min="17" max="17" width="24" style="12" bestFit="1" customWidth="1"/>
    <col min="18" max="18" width="23.44140625" style="8" customWidth="1"/>
    <col min="19" max="20" width="23.6640625" style="8" customWidth="1"/>
    <col min="21" max="21" width="24.5546875" style="12" customWidth="1"/>
    <col min="22" max="22" width="25.5546875" style="32" customWidth="1"/>
    <col min="23" max="23" width="17.6640625" style="8" customWidth="1"/>
    <col min="24" max="16384" width="9.109375" style="8" hidden="1"/>
  </cols>
  <sheetData>
    <row r="1" spans="1:24" ht="18.600000000000001" thickBot="1" x14ac:dyDescent="0.35"/>
    <row r="2" spans="1:24" ht="39.9" customHeight="1" thickBot="1" x14ac:dyDescent="0.35">
      <c r="A2" s="86"/>
      <c r="B2" s="86"/>
      <c r="C2" s="86"/>
      <c r="D2" s="86"/>
      <c r="E2" s="86"/>
      <c r="F2" s="43"/>
      <c r="G2" s="101" t="s">
        <v>24</v>
      </c>
      <c r="H2" s="98">
        <f>SUM(H9:H10001)</f>
        <v>588591.72</v>
      </c>
      <c r="K2" s="374"/>
      <c r="L2" s="374"/>
      <c r="M2" s="374"/>
      <c r="N2" s="375" t="s">
        <v>137</v>
      </c>
      <c r="O2" s="377"/>
      <c r="P2" s="87">
        <f>SUM(P9:P10001)</f>
        <v>260465.61000000002</v>
      </c>
      <c r="R2" s="86"/>
      <c r="S2" s="375" t="s">
        <v>45</v>
      </c>
      <c r="T2" s="376"/>
      <c r="U2" s="377"/>
      <c r="V2" s="88">
        <f>SUM(V9:V10001)</f>
        <v>0</v>
      </c>
    </row>
    <row r="3" spans="1:24" x14ac:dyDescent="0.3">
      <c r="A3" s="374"/>
      <c r="B3" s="374"/>
      <c r="C3" s="374"/>
      <c r="D3" s="374"/>
      <c r="E3" s="374"/>
      <c r="F3" s="45"/>
      <c r="N3" s="86"/>
    </row>
    <row r="4" spans="1:24" ht="39.9" customHeight="1" x14ac:dyDescent="0.3">
      <c r="A4" s="14"/>
      <c r="B4" s="14"/>
      <c r="C4" s="14"/>
      <c r="D4" s="14"/>
      <c r="E4" s="29"/>
      <c r="F4" s="14"/>
      <c r="J4" s="378"/>
      <c r="K4" s="378"/>
      <c r="M4" s="378"/>
      <c r="N4" s="378"/>
      <c r="O4" s="378"/>
      <c r="P4" s="378"/>
    </row>
    <row r="5" spans="1:24" x14ac:dyDescent="0.3">
      <c r="A5" s="14"/>
      <c r="B5" s="14"/>
      <c r="C5" s="14"/>
      <c r="D5" s="14"/>
      <c r="E5" s="29"/>
      <c r="F5" s="14"/>
      <c r="G5" s="14"/>
      <c r="H5" s="15"/>
    </row>
    <row r="6" spans="1:24" ht="159" customHeight="1" x14ac:dyDescent="0.3">
      <c r="A6" s="69" t="s">
        <v>8</v>
      </c>
      <c r="B6" s="69" t="s">
        <v>47</v>
      </c>
      <c r="C6" s="69" t="s">
        <v>145</v>
      </c>
      <c r="D6" s="69" t="s">
        <v>10</v>
      </c>
      <c r="E6" s="68" t="s">
        <v>1</v>
      </c>
      <c r="F6" s="69" t="s">
        <v>2</v>
      </c>
      <c r="G6" s="69" t="s">
        <v>3</v>
      </c>
      <c r="H6" s="71" t="s">
        <v>4</v>
      </c>
      <c r="I6" s="71" t="s">
        <v>22</v>
      </c>
      <c r="J6" s="69" t="s">
        <v>46</v>
      </c>
      <c r="K6" s="69" t="s">
        <v>5</v>
      </c>
      <c r="L6" s="69" t="s">
        <v>82</v>
      </c>
      <c r="M6" s="69" t="s">
        <v>44</v>
      </c>
      <c r="N6" s="68" t="s">
        <v>7</v>
      </c>
      <c r="O6" s="69" t="s">
        <v>6</v>
      </c>
      <c r="P6" s="70" t="s">
        <v>23</v>
      </c>
      <c r="Q6" s="68" t="s">
        <v>9</v>
      </c>
      <c r="R6" s="67" t="s">
        <v>40</v>
      </c>
      <c r="S6" s="67" t="s">
        <v>103</v>
      </c>
      <c r="T6" s="67" t="s">
        <v>104</v>
      </c>
      <c r="U6" s="68" t="s">
        <v>41</v>
      </c>
      <c r="V6" s="70" t="s">
        <v>105</v>
      </c>
      <c r="W6" s="67" t="s">
        <v>42</v>
      </c>
    </row>
    <row r="7" spans="1:24" x14ac:dyDescent="0.3">
      <c r="A7" s="78" t="s">
        <v>36</v>
      </c>
      <c r="B7" s="78" t="s">
        <v>110</v>
      </c>
      <c r="C7" s="78" t="s">
        <v>111</v>
      </c>
      <c r="D7" s="78" t="s">
        <v>112</v>
      </c>
      <c r="E7" s="78" t="s">
        <v>113</v>
      </c>
      <c r="F7" s="78" t="s">
        <v>114</v>
      </c>
      <c r="G7" s="78" t="s">
        <v>115</v>
      </c>
      <c r="H7" s="78" t="s">
        <v>116</v>
      </c>
      <c r="I7" s="78" t="s">
        <v>117</v>
      </c>
      <c r="J7" s="78" t="s">
        <v>118</v>
      </c>
      <c r="K7" s="78" t="s">
        <v>119</v>
      </c>
      <c r="L7" s="78" t="s">
        <v>120</v>
      </c>
      <c r="M7" s="78" t="s">
        <v>121</v>
      </c>
      <c r="N7" s="78" t="s">
        <v>122</v>
      </c>
      <c r="O7" s="78" t="s">
        <v>123</v>
      </c>
      <c r="P7" s="78" t="s">
        <v>124</v>
      </c>
      <c r="Q7" s="78" t="s">
        <v>125</v>
      </c>
      <c r="R7" s="78" t="s">
        <v>126</v>
      </c>
      <c r="S7" s="78" t="s">
        <v>127</v>
      </c>
      <c r="T7" s="78" t="s">
        <v>128</v>
      </c>
      <c r="U7" s="78" t="s">
        <v>129</v>
      </c>
      <c r="V7" s="78" t="s">
        <v>130</v>
      </c>
      <c r="W7" s="78" t="s">
        <v>131</v>
      </c>
    </row>
    <row r="8" spans="1:24" s="19" customFormat="1" ht="90" x14ac:dyDescent="0.3">
      <c r="A8" s="72">
        <v>1</v>
      </c>
      <c r="B8" s="72" t="s">
        <v>56</v>
      </c>
      <c r="C8" s="72"/>
      <c r="D8" s="72" t="s">
        <v>58</v>
      </c>
      <c r="E8" s="73" t="s">
        <v>57</v>
      </c>
      <c r="F8" s="73" t="s">
        <v>107</v>
      </c>
      <c r="G8" s="72" t="s">
        <v>59</v>
      </c>
      <c r="H8" s="79">
        <v>20000</v>
      </c>
      <c r="I8" s="79">
        <f>H8-P8</f>
        <v>0</v>
      </c>
      <c r="J8" s="72" t="s">
        <v>60</v>
      </c>
      <c r="K8" s="72" t="s">
        <v>61</v>
      </c>
      <c r="L8" s="72"/>
      <c r="M8" s="72" t="s">
        <v>62</v>
      </c>
      <c r="N8" s="73">
        <v>43840</v>
      </c>
      <c r="O8" s="72" t="s">
        <v>144</v>
      </c>
      <c r="P8" s="103">
        <v>20000</v>
      </c>
      <c r="Q8" s="73">
        <v>43840</v>
      </c>
      <c r="R8" s="72"/>
      <c r="S8" s="79"/>
      <c r="T8" s="79"/>
      <c r="U8" s="73"/>
      <c r="V8" s="79"/>
      <c r="W8" s="75" t="s">
        <v>64</v>
      </c>
    </row>
    <row r="9" spans="1:24" s="107" customFormat="1" ht="93.75" customHeight="1" x14ac:dyDescent="0.3">
      <c r="A9" s="368">
        <v>1</v>
      </c>
      <c r="B9" s="379" t="s">
        <v>56</v>
      </c>
      <c r="C9" s="353" t="s">
        <v>146</v>
      </c>
      <c r="D9" s="353" t="s">
        <v>147</v>
      </c>
      <c r="E9" s="388">
        <v>45078</v>
      </c>
      <c r="F9" s="359">
        <v>44951</v>
      </c>
      <c r="G9" s="353" t="s">
        <v>159</v>
      </c>
      <c r="H9" s="362">
        <v>21993.040000000001</v>
      </c>
      <c r="I9" s="365">
        <f>IF(X9 = 1, H9 + SUM(S9:S10) - SUM(T9:T10) - SUM(P9:P10) - V9,0)</f>
        <v>15944.960000000001</v>
      </c>
      <c r="J9" s="353" t="s">
        <v>160</v>
      </c>
      <c r="K9" s="353" t="s">
        <v>161</v>
      </c>
      <c r="L9" s="353" t="s">
        <v>146</v>
      </c>
      <c r="M9" s="353" t="s">
        <v>162</v>
      </c>
      <c r="N9" s="121">
        <v>45012</v>
      </c>
      <c r="O9" s="371" t="s">
        <v>181</v>
      </c>
      <c r="P9" s="112">
        <v>6048.08</v>
      </c>
      <c r="Q9" s="113">
        <v>45022</v>
      </c>
      <c r="R9" s="114"/>
      <c r="S9" s="112"/>
      <c r="T9" s="112"/>
      <c r="U9" s="362"/>
      <c r="V9" s="350"/>
      <c r="W9" s="385"/>
      <c r="X9" s="107">
        <v>1</v>
      </c>
    </row>
    <row r="10" spans="1:24" s="111" customFormat="1" x14ac:dyDescent="0.3">
      <c r="A10" s="370"/>
      <c r="B10" s="381"/>
      <c r="C10" s="355"/>
      <c r="D10" s="355"/>
      <c r="E10" s="389"/>
      <c r="F10" s="361"/>
      <c r="G10" s="355"/>
      <c r="H10" s="364"/>
      <c r="I10" s="367"/>
      <c r="J10" s="355"/>
      <c r="K10" s="355"/>
      <c r="L10" s="355"/>
      <c r="M10" s="355"/>
      <c r="N10" s="123"/>
      <c r="O10" s="373"/>
      <c r="P10" s="118"/>
      <c r="Q10" s="119"/>
      <c r="R10" s="120"/>
      <c r="S10" s="118"/>
      <c r="T10" s="118"/>
      <c r="U10" s="364"/>
      <c r="V10" s="352"/>
      <c r="W10" s="387"/>
      <c r="X10" s="111">
        <v>1</v>
      </c>
    </row>
    <row r="11" spans="1:24" s="107" customFormat="1" ht="93.75" customHeight="1" x14ac:dyDescent="0.3">
      <c r="A11" s="294">
        <v>2</v>
      </c>
      <c r="B11" s="321" t="s">
        <v>56</v>
      </c>
      <c r="C11" s="300" t="s">
        <v>146</v>
      </c>
      <c r="D11" s="300" t="s">
        <v>147</v>
      </c>
      <c r="E11" s="306">
        <v>1</v>
      </c>
      <c r="F11" s="296">
        <v>44952</v>
      </c>
      <c r="G11" s="300" t="s">
        <v>163</v>
      </c>
      <c r="H11" s="298">
        <v>17500</v>
      </c>
      <c r="I11" s="308">
        <f>IF(X11 = 2, H11 + SUM(S11:S14) - SUM(T11:T14) - SUM(P11:P14) - V11,0)</f>
        <v>7500</v>
      </c>
      <c r="J11" s="300" t="s">
        <v>164</v>
      </c>
      <c r="K11" s="300" t="s">
        <v>165</v>
      </c>
      <c r="L11" s="300" t="s">
        <v>146</v>
      </c>
      <c r="M11" s="300" t="s">
        <v>166</v>
      </c>
      <c r="N11" s="228">
        <v>44957</v>
      </c>
      <c r="O11" s="382" t="s">
        <v>181</v>
      </c>
      <c r="P11" s="219">
        <v>2500</v>
      </c>
      <c r="Q11" s="220">
        <v>44965</v>
      </c>
      <c r="R11" s="221"/>
      <c r="S11" s="219"/>
      <c r="T11" s="219"/>
      <c r="U11" s="298"/>
      <c r="V11" s="302"/>
      <c r="W11" s="304"/>
      <c r="X11" s="107">
        <v>2</v>
      </c>
    </row>
    <row r="12" spans="1:24" s="106" customFormat="1" x14ac:dyDescent="0.3">
      <c r="A12" s="318"/>
      <c r="B12" s="322"/>
      <c r="C12" s="311"/>
      <c r="D12" s="311"/>
      <c r="E12" s="320"/>
      <c r="F12" s="315"/>
      <c r="G12" s="311"/>
      <c r="H12" s="316"/>
      <c r="I12" s="317"/>
      <c r="J12" s="311"/>
      <c r="K12" s="311"/>
      <c r="L12" s="311"/>
      <c r="M12" s="311"/>
      <c r="N12" s="229">
        <v>44985</v>
      </c>
      <c r="O12" s="383"/>
      <c r="P12" s="222">
        <v>2500</v>
      </c>
      <c r="Q12" s="223">
        <v>44986</v>
      </c>
      <c r="R12" s="224"/>
      <c r="S12" s="222"/>
      <c r="T12" s="222"/>
      <c r="U12" s="316"/>
      <c r="V12" s="319"/>
      <c r="W12" s="310"/>
      <c r="X12" s="106">
        <v>2</v>
      </c>
    </row>
    <row r="13" spans="1:24" s="111" customFormat="1" x14ac:dyDescent="0.3">
      <c r="A13" s="318"/>
      <c r="B13" s="322"/>
      <c r="C13" s="311"/>
      <c r="D13" s="311"/>
      <c r="E13" s="320"/>
      <c r="F13" s="315"/>
      <c r="G13" s="311"/>
      <c r="H13" s="316"/>
      <c r="I13" s="317"/>
      <c r="J13" s="311"/>
      <c r="K13" s="311"/>
      <c r="L13" s="311"/>
      <c r="M13" s="311"/>
      <c r="N13" s="229">
        <v>45021</v>
      </c>
      <c r="O13" s="383"/>
      <c r="P13" s="222">
        <v>2500</v>
      </c>
      <c r="Q13" s="223">
        <v>45035</v>
      </c>
      <c r="R13" s="224"/>
      <c r="S13" s="222"/>
      <c r="T13" s="222"/>
      <c r="U13" s="316"/>
      <c r="V13" s="319"/>
      <c r="W13" s="310"/>
      <c r="X13" s="111">
        <v>2</v>
      </c>
    </row>
    <row r="14" spans="1:24" s="210" customFormat="1" x14ac:dyDescent="0.3">
      <c r="A14" s="295"/>
      <c r="B14" s="323"/>
      <c r="C14" s="301"/>
      <c r="D14" s="301"/>
      <c r="E14" s="307"/>
      <c r="F14" s="297"/>
      <c r="G14" s="301"/>
      <c r="H14" s="299"/>
      <c r="I14" s="309"/>
      <c r="J14" s="301"/>
      <c r="K14" s="301"/>
      <c r="L14" s="301"/>
      <c r="M14" s="301"/>
      <c r="N14" s="230">
        <v>45041</v>
      </c>
      <c r="O14" s="384"/>
      <c r="P14" s="225">
        <v>2500</v>
      </c>
      <c r="Q14" s="226">
        <v>45049</v>
      </c>
      <c r="R14" s="227"/>
      <c r="S14" s="225"/>
      <c r="T14" s="225"/>
      <c r="U14" s="299"/>
      <c r="V14" s="303"/>
      <c r="W14" s="305"/>
      <c r="X14" s="210">
        <v>2</v>
      </c>
    </row>
    <row r="15" spans="1:24" s="107" customFormat="1" ht="93.75" customHeight="1" x14ac:dyDescent="0.3">
      <c r="A15" s="368">
        <v>3</v>
      </c>
      <c r="B15" s="379" t="s">
        <v>56</v>
      </c>
      <c r="C15" s="353" t="s">
        <v>146</v>
      </c>
      <c r="D15" s="353" t="s">
        <v>147</v>
      </c>
      <c r="E15" s="356" t="s">
        <v>173</v>
      </c>
      <c r="F15" s="359">
        <v>44951</v>
      </c>
      <c r="G15" s="353" t="s">
        <v>174</v>
      </c>
      <c r="H15" s="362">
        <v>9000</v>
      </c>
      <c r="I15" s="365">
        <f>IF(X15 = 8, H15 + SUM(S15:S18) - SUM(T15:T18) - SUM(P15:P18) - V15,0)</f>
        <v>0</v>
      </c>
      <c r="J15" s="353" t="s">
        <v>172</v>
      </c>
      <c r="K15" s="353" t="s">
        <v>171</v>
      </c>
      <c r="L15" s="353" t="s">
        <v>146</v>
      </c>
      <c r="M15" s="353" t="s">
        <v>175</v>
      </c>
      <c r="N15" s="121">
        <v>44957</v>
      </c>
      <c r="O15" s="371" t="s">
        <v>181</v>
      </c>
      <c r="P15" s="112">
        <v>3000</v>
      </c>
      <c r="Q15" s="113">
        <v>44963</v>
      </c>
      <c r="R15" s="114"/>
      <c r="S15" s="112"/>
      <c r="T15" s="112"/>
      <c r="U15" s="362"/>
      <c r="V15" s="350"/>
      <c r="W15" s="385"/>
      <c r="X15" s="107">
        <v>8</v>
      </c>
    </row>
    <row r="16" spans="1:24" s="106" customFormat="1" x14ac:dyDescent="0.3">
      <c r="A16" s="369"/>
      <c r="B16" s="380"/>
      <c r="C16" s="354"/>
      <c r="D16" s="354"/>
      <c r="E16" s="357"/>
      <c r="F16" s="360"/>
      <c r="G16" s="354"/>
      <c r="H16" s="363"/>
      <c r="I16" s="366"/>
      <c r="J16" s="354"/>
      <c r="K16" s="354"/>
      <c r="L16" s="354"/>
      <c r="M16" s="354"/>
      <c r="N16" s="122">
        <v>44985</v>
      </c>
      <c r="O16" s="372"/>
      <c r="P16" s="115">
        <v>3000</v>
      </c>
      <c r="Q16" s="116">
        <v>44986</v>
      </c>
      <c r="R16" s="117"/>
      <c r="S16" s="115"/>
      <c r="T16" s="115"/>
      <c r="U16" s="363"/>
      <c r="V16" s="351"/>
      <c r="W16" s="386"/>
      <c r="X16" s="106">
        <v>8</v>
      </c>
    </row>
    <row r="17" spans="1:24" s="111" customFormat="1" x14ac:dyDescent="0.3">
      <c r="A17" s="369"/>
      <c r="B17" s="380"/>
      <c r="C17" s="354"/>
      <c r="D17" s="354"/>
      <c r="E17" s="357"/>
      <c r="F17" s="360"/>
      <c r="G17" s="354"/>
      <c r="H17" s="363"/>
      <c r="I17" s="366"/>
      <c r="J17" s="354"/>
      <c r="K17" s="354"/>
      <c r="L17" s="354"/>
      <c r="M17" s="354"/>
      <c r="N17" s="122">
        <v>45016</v>
      </c>
      <c r="O17" s="372"/>
      <c r="P17" s="115">
        <v>3000</v>
      </c>
      <c r="Q17" s="116">
        <v>45022</v>
      </c>
      <c r="R17" s="117"/>
      <c r="S17" s="115"/>
      <c r="T17" s="115"/>
      <c r="U17" s="363"/>
      <c r="V17" s="351"/>
      <c r="W17" s="386"/>
      <c r="X17" s="111">
        <v>8</v>
      </c>
    </row>
    <row r="18" spans="1:24" s="111" customFormat="1" x14ac:dyDescent="0.3">
      <c r="A18" s="370"/>
      <c r="B18" s="381"/>
      <c r="C18" s="355"/>
      <c r="D18" s="355"/>
      <c r="E18" s="358"/>
      <c r="F18" s="361"/>
      <c r="G18" s="355"/>
      <c r="H18" s="364"/>
      <c r="I18" s="367"/>
      <c r="J18" s="355"/>
      <c r="K18" s="355"/>
      <c r="L18" s="355"/>
      <c r="M18" s="355"/>
      <c r="N18" s="123"/>
      <c r="O18" s="373"/>
      <c r="P18" s="118"/>
      <c r="Q18" s="119"/>
      <c r="R18" s="120"/>
      <c r="S18" s="118"/>
      <c r="T18" s="118"/>
      <c r="U18" s="364"/>
      <c r="V18" s="352"/>
      <c r="W18" s="387"/>
      <c r="X18" s="111">
        <v>8</v>
      </c>
    </row>
    <row r="19" spans="1:24" s="107" customFormat="1" ht="168.75" customHeight="1" x14ac:dyDescent="0.3">
      <c r="A19" s="294">
        <v>4</v>
      </c>
      <c r="B19" s="300" t="s">
        <v>56</v>
      </c>
      <c r="C19" s="300" t="s">
        <v>146</v>
      </c>
      <c r="D19" s="300" t="s">
        <v>147</v>
      </c>
      <c r="E19" s="306">
        <v>34000838</v>
      </c>
      <c r="F19" s="296">
        <v>44951</v>
      </c>
      <c r="G19" s="300" t="s">
        <v>192</v>
      </c>
      <c r="H19" s="298">
        <v>27331.200000000001</v>
      </c>
      <c r="I19" s="308">
        <f>IF(X19 = 23, H19 + SUM(S19:S22) - SUM(T19:T22) - SUM(P19:P22) - V19,0)</f>
        <v>18220.800000000003</v>
      </c>
      <c r="J19" s="300" t="s">
        <v>193</v>
      </c>
      <c r="K19" s="300" t="s">
        <v>194</v>
      </c>
      <c r="L19" s="300" t="s">
        <v>146</v>
      </c>
      <c r="M19" s="300"/>
      <c r="N19" s="228">
        <v>44957</v>
      </c>
      <c r="O19" s="296" t="s">
        <v>181</v>
      </c>
      <c r="P19" s="219">
        <v>2277.6</v>
      </c>
      <c r="Q19" s="220">
        <v>44974</v>
      </c>
      <c r="R19" s="221"/>
      <c r="S19" s="219"/>
      <c r="T19" s="219"/>
      <c r="U19" s="298"/>
      <c r="V19" s="302"/>
      <c r="W19" s="304"/>
      <c r="X19" s="107">
        <v>23</v>
      </c>
    </row>
    <row r="20" spans="1:24" s="134" customFormat="1" x14ac:dyDescent="0.3">
      <c r="A20" s="318"/>
      <c r="B20" s="311"/>
      <c r="C20" s="311"/>
      <c r="D20" s="311"/>
      <c r="E20" s="320"/>
      <c r="F20" s="315"/>
      <c r="G20" s="311"/>
      <c r="H20" s="316"/>
      <c r="I20" s="317"/>
      <c r="J20" s="311"/>
      <c r="K20" s="311"/>
      <c r="L20" s="311"/>
      <c r="M20" s="311"/>
      <c r="N20" s="229">
        <v>44985</v>
      </c>
      <c r="O20" s="315"/>
      <c r="P20" s="222">
        <v>2277.6</v>
      </c>
      <c r="Q20" s="223">
        <v>44986</v>
      </c>
      <c r="R20" s="224"/>
      <c r="S20" s="222"/>
      <c r="T20" s="222"/>
      <c r="U20" s="316"/>
      <c r="V20" s="319"/>
      <c r="W20" s="310"/>
      <c r="X20" s="134">
        <v>23</v>
      </c>
    </row>
    <row r="21" spans="1:24" s="177" customFormat="1" x14ac:dyDescent="0.3">
      <c r="A21" s="318"/>
      <c r="B21" s="311"/>
      <c r="C21" s="311"/>
      <c r="D21" s="311"/>
      <c r="E21" s="320"/>
      <c r="F21" s="315"/>
      <c r="G21" s="311"/>
      <c r="H21" s="316"/>
      <c r="I21" s="317"/>
      <c r="J21" s="311"/>
      <c r="K21" s="311"/>
      <c r="L21" s="311"/>
      <c r="M21" s="311"/>
      <c r="N21" s="229">
        <v>45016</v>
      </c>
      <c r="O21" s="315"/>
      <c r="P21" s="222">
        <v>2277.6</v>
      </c>
      <c r="Q21" s="223">
        <v>45022</v>
      </c>
      <c r="R21" s="224"/>
      <c r="S21" s="222"/>
      <c r="T21" s="222"/>
      <c r="U21" s="316"/>
      <c r="V21" s="319"/>
      <c r="W21" s="310"/>
      <c r="X21" s="177">
        <v>23</v>
      </c>
    </row>
    <row r="22" spans="1:24" s="210" customFormat="1" x14ac:dyDescent="0.3">
      <c r="A22" s="295"/>
      <c r="B22" s="301"/>
      <c r="C22" s="301"/>
      <c r="D22" s="301"/>
      <c r="E22" s="307"/>
      <c r="F22" s="297"/>
      <c r="G22" s="301"/>
      <c r="H22" s="299"/>
      <c r="I22" s="309"/>
      <c r="J22" s="301"/>
      <c r="K22" s="301"/>
      <c r="L22" s="301"/>
      <c r="M22" s="301"/>
      <c r="N22" s="230">
        <v>45046</v>
      </c>
      <c r="O22" s="297"/>
      <c r="P22" s="225">
        <v>2277.6</v>
      </c>
      <c r="Q22" s="226">
        <v>45049</v>
      </c>
      <c r="R22" s="227"/>
      <c r="S22" s="225"/>
      <c r="T22" s="225"/>
      <c r="U22" s="299"/>
      <c r="V22" s="303"/>
      <c r="W22" s="305"/>
      <c r="X22" s="210">
        <v>23</v>
      </c>
    </row>
    <row r="23" spans="1:24" s="107" customFormat="1" ht="168.75" customHeight="1" x14ac:dyDescent="0.3">
      <c r="A23" s="294">
        <v>5</v>
      </c>
      <c r="B23" s="300" t="s">
        <v>56</v>
      </c>
      <c r="C23" s="300" t="s">
        <v>146</v>
      </c>
      <c r="D23" s="300" t="s">
        <v>147</v>
      </c>
      <c r="E23" s="306">
        <v>166</v>
      </c>
      <c r="F23" s="296">
        <v>44951</v>
      </c>
      <c r="G23" s="300" t="s">
        <v>203</v>
      </c>
      <c r="H23" s="298">
        <v>12000</v>
      </c>
      <c r="I23" s="308">
        <f>IF(X23 = 24, H23 + SUM(S23:S26) - SUM(T23:T26) - SUM(P23:P26) - V23,0)</f>
        <v>7192.71</v>
      </c>
      <c r="J23" s="300" t="s">
        <v>204</v>
      </c>
      <c r="K23" s="300" t="s">
        <v>169</v>
      </c>
      <c r="L23" s="300" t="s">
        <v>146</v>
      </c>
      <c r="M23" s="300"/>
      <c r="N23" s="228">
        <v>44957</v>
      </c>
      <c r="O23" s="296" t="s">
        <v>181</v>
      </c>
      <c r="P23" s="219">
        <v>1246.25</v>
      </c>
      <c r="Q23" s="220">
        <v>44965</v>
      </c>
      <c r="R23" s="221"/>
      <c r="S23" s="219"/>
      <c r="T23" s="219"/>
      <c r="U23" s="298"/>
      <c r="V23" s="302"/>
      <c r="W23" s="304"/>
      <c r="X23" s="107">
        <v>24</v>
      </c>
    </row>
    <row r="24" spans="1:24" s="134" customFormat="1" x14ac:dyDescent="0.3">
      <c r="A24" s="318"/>
      <c r="B24" s="311"/>
      <c r="C24" s="311"/>
      <c r="D24" s="311"/>
      <c r="E24" s="320"/>
      <c r="F24" s="315"/>
      <c r="G24" s="311"/>
      <c r="H24" s="316"/>
      <c r="I24" s="317"/>
      <c r="J24" s="311"/>
      <c r="K24" s="311"/>
      <c r="L24" s="311"/>
      <c r="M24" s="311"/>
      <c r="N24" s="229">
        <v>44985</v>
      </c>
      <c r="O24" s="315"/>
      <c r="P24" s="222">
        <v>1193.94</v>
      </c>
      <c r="Q24" s="223">
        <v>44995</v>
      </c>
      <c r="R24" s="224"/>
      <c r="S24" s="222"/>
      <c r="T24" s="222"/>
      <c r="U24" s="316"/>
      <c r="V24" s="319"/>
      <c r="W24" s="310"/>
      <c r="X24" s="134">
        <v>24</v>
      </c>
    </row>
    <row r="25" spans="1:24" s="177" customFormat="1" x14ac:dyDescent="0.3">
      <c r="A25" s="318"/>
      <c r="B25" s="311"/>
      <c r="C25" s="311"/>
      <c r="D25" s="311"/>
      <c r="E25" s="320"/>
      <c r="F25" s="315"/>
      <c r="G25" s="311"/>
      <c r="H25" s="316"/>
      <c r="I25" s="317"/>
      <c r="J25" s="311"/>
      <c r="K25" s="311"/>
      <c r="L25" s="311"/>
      <c r="M25" s="311"/>
      <c r="N25" s="229">
        <v>45016</v>
      </c>
      <c r="O25" s="315"/>
      <c r="P25" s="222">
        <v>1291.82</v>
      </c>
      <c r="Q25" s="223">
        <v>45022</v>
      </c>
      <c r="R25" s="224"/>
      <c r="S25" s="222"/>
      <c r="T25" s="222"/>
      <c r="U25" s="316"/>
      <c r="V25" s="319"/>
      <c r="W25" s="310"/>
      <c r="X25" s="177">
        <v>24</v>
      </c>
    </row>
    <row r="26" spans="1:24" s="210" customFormat="1" x14ac:dyDescent="0.3">
      <c r="A26" s="295"/>
      <c r="B26" s="301"/>
      <c r="C26" s="301"/>
      <c r="D26" s="301"/>
      <c r="E26" s="307"/>
      <c r="F26" s="297"/>
      <c r="G26" s="301"/>
      <c r="H26" s="299"/>
      <c r="I26" s="309"/>
      <c r="J26" s="301"/>
      <c r="K26" s="301"/>
      <c r="L26" s="301"/>
      <c r="M26" s="301"/>
      <c r="N26" s="230">
        <v>45046</v>
      </c>
      <c r="O26" s="297"/>
      <c r="P26" s="225">
        <v>1075.28</v>
      </c>
      <c r="Q26" s="226">
        <v>45051</v>
      </c>
      <c r="R26" s="227"/>
      <c r="S26" s="225"/>
      <c r="T26" s="225"/>
      <c r="U26" s="299"/>
      <c r="V26" s="303"/>
      <c r="W26" s="305"/>
      <c r="X26" s="210">
        <v>24</v>
      </c>
    </row>
    <row r="27" spans="1:24" s="107" customFormat="1" ht="168.75" customHeight="1" x14ac:dyDescent="0.3">
      <c r="A27" s="324">
        <v>6</v>
      </c>
      <c r="B27" s="333" t="s">
        <v>56</v>
      </c>
      <c r="C27" s="333" t="s">
        <v>146</v>
      </c>
      <c r="D27" s="333" t="s">
        <v>147</v>
      </c>
      <c r="E27" s="342" t="s">
        <v>205</v>
      </c>
      <c r="F27" s="327">
        <v>44951</v>
      </c>
      <c r="G27" s="333" t="s">
        <v>203</v>
      </c>
      <c r="H27" s="330">
        <v>3000</v>
      </c>
      <c r="I27" s="345">
        <f>IF(X27 = 25, H27 + SUM(S27:S29) - SUM(T27:T29) - SUM(P27:P29) - V27,0)</f>
        <v>2981.64</v>
      </c>
      <c r="J27" s="333" t="s">
        <v>204</v>
      </c>
      <c r="K27" s="333" t="s">
        <v>169</v>
      </c>
      <c r="L27" s="333" t="s">
        <v>146</v>
      </c>
      <c r="M27" s="333"/>
      <c r="N27" s="198">
        <v>44957</v>
      </c>
      <c r="O27" s="327" t="s">
        <v>181</v>
      </c>
      <c r="P27" s="189">
        <v>18.36</v>
      </c>
      <c r="Q27" s="190">
        <v>44965</v>
      </c>
      <c r="R27" s="191"/>
      <c r="S27" s="189"/>
      <c r="T27" s="189"/>
      <c r="U27" s="330"/>
      <c r="V27" s="336"/>
      <c r="W27" s="339"/>
      <c r="X27" s="107">
        <v>25</v>
      </c>
    </row>
    <row r="28" spans="1:24" s="134" customFormat="1" x14ac:dyDescent="0.3">
      <c r="A28" s="325"/>
      <c r="B28" s="334"/>
      <c r="C28" s="334"/>
      <c r="D28" s="334"/>
      <c r="E28" s="343"/>
      <c r="F28" s="328"/>
      <c r="G28" s="334"/>
      <c r="H28" s="331"/>
      <c r="I28" s="346"/>
      <c r="J28" s="334"/>
      <c r="K28" s="334"/>
      <c r="L28" s="334"/>
      <c r="M28" s="334"/>
      <c r="N28" s="199">
        <v>44985</v>
      </c>
      <c r="O28" s="328"/>
      <c r="P28" s="192" t="s">
        <v>229</v>
      </c>
      <c r="Q28" s="193">
        <v>44995</v>
      </c>
      <c r="R28" s="194"/>
      <c r="S28" s="192"/>
      <c r="T28" s="192"/>
      <c r="U28" s="331"/>
      <c r="V28" s="337"/>
      <c r="W28" s="340"/>
      <c r="X28" s="134">
        <v>25</v>
      </c>
    </row>
    <row r="29" spans="1:24" s="177" customFormat="1" x14ac:dyDescent="0.3">
      <c r="A29" s="326"/>
      <c r="B29" s="335"/>
      <c r="C29" s="335"/>
      <c r="D29" s="335"/>
      <c r="E29" s="344"/>
      <c r="F29" s="329"/>
      <c r="G29" s="335"/>
      <c r="H29" s="332"/>
      <c r="I29" s="347"/>
      <c r="J29" s="335"/>
      <c r="K29" s="335"/>
      <c r="L29" s="335"/>
      <c r="M29" s="335"/>
      <c r="N29" s="200"/>
      <c r="O29" s="329"/>
      <c r="P29" s="195"/>
      <c r="Q29" s="196"/>
      <c r="R29" s="197"/>
      <c r="S29" s="195"/>
      <c r="T29" s="195"/>
      <c r="U29" s="332"/>
      <c r="V29" s="338"/>
      <c r="W29" s="341"/>
      <c r="X29" s="177">
        <v>25</v>
      </c>
    </row>
    <row r="30" spans="1:24" s="107" customFormat="1" ht="168.75" customHeight="1" x14ac:dyDescent="0.3">
      <c r="A30" s="294">
        <v>7</v>
      </c>
      <c r="B30" s="300" t="s">
        <v>56</v>
      </c>
      <c r="C30" s="300" t="s">
        <v>146</v>
      </c>
      <c r="D30" s="300" t="s">
        <v>147</v>
      </c>
      <c r="E30" s="306">
        <v>4</v>
      </c>
      <c r="F30" s="296">
        <v>44952</v>
      </c>
      <c r="G30" s="300" t="s">
        <v>206</v>
      </c>
      <c r="H30" s="298">
        <v>24000</v>
      </c>
      <c r="I30" s="308">
        <f>IF(X30 = 26, H30 + SUM(S30:S33) - SUM(T30:T33) - SUM(P30:P33) - V30,0)</f>
        <v>16000</v>
      </c>
      <c r="J30" s="300" t="s">
        <v>172</v>
      </c>
      <c r="K30" s="300" t="s">
        <v>171</v>
      </c>
      <c r="L30" s="300" t="s">
        <v>146</v>
      </c>
      <c r="M30" s="300"/>
      <c r="N30" s="228">
        <v>44969</v>
      </c>
      <c r="O30" s="296" t="s">
        <v>181</v>
      </c>
      <c r="P30" s="219">
        <v>2000</v>
      </c>
      <c r="Q30" s="220">
        <v>44974</v>
      </c>
      <c r="R30" s="221"/>
      <c r="S30" s="219"/>
      <c r="T30" s="219"/>
      <c r="U30" s="298"/>
      <c r="V30" s="302"/>
      <c r="W30" s="304"/>
      <c r="X30" s="107">
        <v>26</v>
      </c>
    </row>
    <row r="31" spans="1:24" s="134" customFormat="1" x14ac:dyDescent="0.3">
      <c r="A31" s="318"/>
      <c r="B31" s="311"/>
      <c r="C31" s="311"/>
      <c r="D31" s="311"/>
      <c r="E31" s="320"/>
      <c r="F31" s="315"/>
      <c r="G31" s="311"/>
      <c r="H31" s="316"/>
      <c r="I31" s="317"/>
      <c r="J31" s="311"/>
      <c r="K31" s="311"/>
      <c r="L31" s="311"/>
      <c r="M31" s="311"/>
      <c r="N31" s="229">
        <v>44985</v>
      </c>
      <c r="O31" s="315"/>
      <c r="P31" s="222">
        <v>2000</v>
      </c>
      <c r="Q31" s="223">
        <v>44986</v>
      </c>
      <c r="R31" s="224"/>
      <c r="S31" s="222"/>
      <c r="T31" s="222"/>
      <c r="U31" s="316"/>
      <c r="V31" s="319"/>
      <c r="W31" s="310"/>
      <c r="X31" s="134">
        <v>26</v>
      </c>
    </row>
    <row r="32" spans="1:24" s="177" customFormat="1" x14ac:dyDescent="0.3">
      <c r="A32" s="318"/>
      <c r="B32" s="311"/>
      <c r="C32" s="311"/>
      <c r="D32" s="311"/>
      <c r="E32" s="320"/>
      <c r="F32" s="315"/>
      <c r="G32" s="311"/>
      <c r="H32" s="316"/>
      <c r="I32" s="317"/>
      <c r="J32" s="311"/>
      <c r="K32" s="311"/>
      <c r="L32" s="311"/>
      <c r="M32" s="311"/>
      <c r="N32" s="229">
        <v>45016</v>
      </c>
      <c r="O32" s="315"/>
      <c r="P32" s="222">
        <v>2000</v>
      </c>
      <c r="Q32" s="223">
        <v>45022</v>
      </c>
      <c r="R32" s="224"/>
      <c r="S32" s="222"/>
      <c r="T32" s="222"/>
      <c r="U32" s="316"/>
      <c r="V32" s="319"/>
      <c r="W32" s="310"/>
      <c r="X32" s="177">
        <v>26</v>
      </c>
    </row>
    <row r="33" spans="1:24" s="210" customFormat="1" x14ac:dyDescent="0.3">
      <c r="A33" s="295"/>
      <c r="B33" s="301"/>
      <c r="C33" s="301"/>
      <c r="D33" s="301"/>
      <c r="E33" s="307"/>
      <c r="F33" s="297"/>
      <c r="G33" s="301"/>
      <c r="H33" s="299"/>
      <c r="I33" s="309"/>
      <c r="J33" s="301"/>
      <c r="K33" s="301"/>
      <c r="L33" s="301"/>
      <c r="M33" s="301"/>
      <c r="N33" s="230">
        <v>45046</v>
      </c>
      <c r="O33" s="297"/>
      <c r="P33" s="225">
        <v>2000</v>
      </c>
      <c r="Q33" s="226">
        <v>45049</v>
      </c>
      <c r="R33" s="227"/>
      <c r="S33" s="225"/>
      <c r="T33" s="225"/>
      <c r="U33" s="299"/>
      <c r="V33" s="303"/>
      <c r="W33" s="305"/>
      <c r="X33" s="210">
        <v>26</v>
      </c>
    </row>
    <row r="34" spans="1:24" s="107" customFormat="1" ht="144" x14ac:dyDescent="0.3">
      <c r="A34" s="124">
        <v>8</v>
      </c>
      <c r="B34" s="125" t="s">
        <v>56</v>
      </c>
      <c r="C34" s="125" t="s">
        <v>146</v>
      </c>
      <c r="D34" s="125" t="s">
        <v>147</v>
      </c>
      <c r="E34" s="126" t="s">
        <v>209</v>
      </c>
      <c r="F34" s="135">
        <v>44952</v>
      </c>
      <c r="G34" s="125" t="s">
        <v>208</v>
      </c>
      <c r="H34" s="127">
        <v>7200</v>
      </c>
      <c r="I34" s="128">
        <f>IF(X34 = 27, H34 + SUM(S34:S34) - SUM(T34:T34) - SUM(P34:P34) - V34,0)</f>
        <v>5400</v>
      </c>
      <c r="J34" s="125" t="s">
        <v>207</v>
      </c>
      <c r="K34" s="125" t="s">
        <v>158</v>
      </c>
      <c r="L34" s="125" t="s">
        <v>146</v>
      </c>
      <c r="M34" s="125"/>
      <c r="N34" s="135">
        <v>45016</v>
      </c>
      <c r="O34" s="135" t="s">
        <v>181</v>
      </c>
      <c r="P34" s="127">
        <v>1800</v>
      </c>
      <c r="Q34" s="126">
        <v>45020</v>
      </c>
      <c r="R34" s="125"/>
      <c r="S34" s="127"/>
      <c r="T34" s="127"/>
      <c r="U34" s="127"/>
      <c r="V34" s="148"/>
      <c r="W34" s="133"/>
      <c r="X34" s="107">
        <v>27</v>
      </c>
    </row>
    <row r="35" spans="1:24" s="107" customFormat="1" ht="144" x14ac:dyDescent="0.3">
      <c r="A35" s="124">
        <v>9</v>
      </c>
      <c r="B35" s="125" t="s">
        <v>56</v>
      </c>
      <c r="C35" s="125" t="s">
        <v>146</v>
      </c>
      <c r="D35" s="125" t="s">
        <v>147</v>
      </c>
      <c r="E35" s="149">
        <v>6</v>
      </c>
      <c r="F35" s="135">
        <v>44952</v>
      </c>
      <c r="G35" s="125" t="s">
        <v>210</v>
      </c>
      <c r="H35" s="127">
        <v>12000</v>
      </c>
      <c r="I35" s="128">
        <f>IF(X35 = 28, H35 + SUM(S35:S35) - SUM(T35:T35) - SUM(P35:P35) - V35,0)</f>
        <v>0</v>
      </c>
      <c r="J35" s="125" t="s">
        <v>211</v>
      </c>
      <c r="K35" s="125" t="s">
        <v>212</v>
      </c>
      <c r="L35" s="125" t="s">
        <v>146</v>
      </c>
      <c r="M35" s="125"/>
      <c r="N35" s="135">
        <v>44952</v>
      </c>
      <c r="O35" s="135" t="s">
        <v>181</v>
      </c>
      <c r="P35" s="127">
        <v>12000</v>
      </c>
      <c r="Q35" s="126">
        <v>44953</v>
      </c>
      <c r="R35" s="125"/>
      <c r="S35" s="127"/>
      <c r="T35" s="127"/>
      <c r="U35" s="127"/>
      <c r="V35" s="148"/>
      <c r="W35" s="133"/>
      <c r="X35" s="107">
        <v>28</v>
      </c>
    </row>
    <row r="36" spans="1:24" s="107" customFormat="1" x14ac:dyDescent="0.3">
      <c r="A36" s="294">
        <v>10</v>
      </c>
      <c r="B36" s="300" t="s">
        <v>56</v>
      </c>
      <c r="C36" s="300" t="s">
        <v>146</v>
      </c>
      <c r="D36" s="300" t="s">
        <v>147</v>
      </c>
      <c r="E36" s="312" t="s">
        <v>214</v>
      </c>
      <c r="F36" s="296">
        <v>44952</v>
      </c>
      <c r="G36" s="300" t="s">
        <v>213</v>
      </c>
      <c r="H36" s="298">
        <v>212400</v>
      </c>
      <c r="I36" s="308">
        <f>IF(X36 = 29, H36 + SUM(S36:S47) - SUM(T36:T47) - SUM(P36:P47) - V36,0)</f>
        <v>145760</v>
      </c>
      <c r="J36" s="300" t="s">
        <v>167</v>
      </c>
      <c r="K36" s="300" t="s">
        <v>168</v>
      </c>
      <c r="L36" s="300" t="s">
        <v>146</v>
      </c>
      <c r="M36" s="300"/>
      <c r="N36" s="228">
        <v>44957</v>
      </c>
      <c r="O36" s="296" t="s">
        <v>181</v>
      </c>
      <c r="P36" s="219">
        <v>4080</v>
      </c>
      <c r="Q36" s="220">
        <v>44964</v>
      </c>
      <c r="R36" s="221"/>
      <c r="S36" s="219"/>
      <c r="T36" s="219"/>
      <c r="U36" s="298"/>
      <c r="V36" s="302"/>
      <c r="W36" s="304"/>
      <c r="X36" s="107">
        <v>29</v>
      </c>
    </row>
    <row r="37" spans="1:24" s="132" customFormat="1" x14ac:dyDescent="0.3">
      <c r="A37" s="318"/>
      <c r="B37" s="311"/>
      <c r="C37" s="311"/>
      <c r="D37" s="311"/>
      <c r="E37" s="313"/>
      <c r="F37" s="315"/>
      <c r="G37" s="311"/>
      <c r="H37" s="316"/>
      <c r="I37" s="317"/>
      <c r="J37" s="311"/>
      <c r="K37" s="311"/>
      <c r="L37" s="311"/>
      <c r="M37" s="311"/>
      <c r="N37" s="229">
        <v>44957</v>
      </c>
      <c r="O37" s="315"/>
      <c r="P37" s="222">
        <v>4760</v>
      </c>
      <c r="Q37" s="223">
        <v>44964</v>
      </c>
      <c r="R37" s="224"/>
      <c r="S37" s="222"/>
      <c r="T37" s="222"/>
      <c r="U37" s="316"/>
      <c r="V37" s="319"/>
      <c r="W37" s="310"/>
      <c r="X37" s="132">
        <v>29</v>
      </c>
    </row>
    <row r="38" spans="1:24" s="132" customFormat="1" x14ac:dyDescent="0.3">
      <c r="A38" s="318"/>
      <c r="B38" s="311"/>
      <c r="C38" s="311"/>
      <c r="D38" s="311"/>
      <c r="E38" s="313"/>
      <c r="F38" s="315"/>
      <c r="G38" s="311"/>
      <c r="H38" s="316"/>
      <c r="I38" s="317"/>
      <c r="J38" s="311"/>
      <c r="K38" s="311"/>
      <c r="L38" s="311"/>
      <c r="M38" s="311"/>
      <c r="N38" s="229">
        <v>44957</v>
      </c>
      <c r="O38" s="315"/>
      <c r="P38" s="222">
        <v>6720</v>
      </c>
      <c r="Q38" s="223">
        <v>44964</v>
      </c>
      <c r="R38" s="224"/>
      <c r="S38" s="222"/>
      <c r="T38" s="222"/>
      <c r="U38" s="316"/>
      <c r="V38" s="319"/>
      <c r="W38" s="310"/>
      <c r="X38" s="132">
        <v>29</v>
      </c>
    </row>
    <row r="39" spans="1:24" s="134" customFormat="1" x14ac:dyDescent="0.3">
      <c r="A39" s="318"/>
      <c r="B39" s="311"/>
      <c r="C39" s="311"/>
      <c r="D39" s="311"/>
      <c r="E39" s="313"/>
      <c r="F39" s="315"/>
      <c r="G39" s="311"/>
      <c r="H39" s="316"/>
      <c r="I39" s="317"/>
      <c r="J39" s="311"/>
      <c r="K39" s="311"/>
      <c r="L39" s="311"/>
      <c r="M39" s="311"/>
      <c r="N39" s="229">
        <v>44985</v>
      </c>
      <c r="O39" s="315"/>
      <c r="P39" s="222">
        <v>3960</v>
      </c>
      <c r="Q39" s="223">
        <v>44995</v>
      </c>
      <c r="R39" s="224"/>
      <c r="S39" s="222"/>
      <c r="T39" s="222"/>
      <c r="U39" s="316"/>
      <c r="V39" s="319"/>
      <c r="W39" s="310"/>
      <c r="X39" s="134">
        <v>29</v>
      </c>
    </row>
    <row r="40" spans="1:24" s="134" customFormat="1" x14ac:dyDescent="0.3">
      <c r="A40" s="318"/>
      <c r="B40" s="311"/>
      <c r="C40" s="311"/>
      <c r="D40" s="311"/>
      <c r="E40" s="313"/>
      <c r="F40" s="315"/>
      <c r="G40" s="311"/>
      <c r="H40" s="316"/>
      <c r="I40" s="317"/>
      <c r="J40" s="311"/>
      <c r="K40" s="311"/>
      <c r="L40" s="311"/>
      <c r="M40" s="311"/>
      <c r="N40" s="229">
        <v>44985</v>
      </c>
      <c r="O40" s="315"/>
      <c r="P40" s="222">
        <v>4620</v>
      </c>
      <c r="Q40" s="223">
        <v>44995</v>
      </c>
      <c r="R40" s="224"/>
      <c r="S40" s="222"/>
      <c r="T40" s="222"/>
      <c r="U40" s="316"/>
      <c r="V40" s="319"/>
      <c r="W40" s="310"/>
      <c r="X40" s="134">
        <v>29</v>
      </c>
    </row>
    <row r="41" spans="1:24" s="134" customFormat="1" x14ac:dyDescent="0.3">
      <c r="A41" s="318"/>
      <c r="B41" s="311"/>
      <c r="C41" s="311"/>
      <c r="D41" s="311"/>
      <c r="E41" s="313"/>
      <c r="F41" s="315"/>
      <c r="G41" s="311"/>
      <c r="H41" s="316"/>
      <c r="I41" s="317"/>
      <c r="J41" s="311"/>
      <c r="K41" s="311"/>
      <c r="L41" s="311"/>
      <c r="M41" s="311"/>
      <c r="N41" s="229">
        <v>44985</v>
      </c>
      <c r="O41" s="315"/>
      <c r="P41" s="222">
        <v>5760</v>
      </c>
      <c r="Q41" s="223">
        <v>44995</v>
      </c>
      <c r="R41" s="224"/>
      <c r="S41" s="222"/>
      <c r="T41" s="222"/>
      <c r="U41" s="316"/>
      <c r="V41" s="319"/>
      <c r="W41" s="310"/>
      <c r="X41" s="134">
        <v>29</v>
      </c>
    </row>
    <row r="42" spans="1:24" s="177" customFormat="1" x14ac:dyDescent="0.3">
      <c r="A42" s="318"/>
      <c r="B42" s="311"/>
      <c r="C42" s="311"/>
      <c r="D42" s="311"/>
      <c r="E42" s="313"/>
      <c r="F42" s="315"/>
      <c r="G42" s="311"/>
      <c r="H42" s="316"/>
      <c r="I42" s="317"/>
      <c r="J42" s="311"/>
      <c r="K42" s="311"/>
      <c r="L42" s="311"/>
      <c r="M42" s="311"/>
      <c r="N42" s="229">
        <v>45016</v>
      </c>
      <c r="O42" s="315"/>
      <c r="P42" s="222">
        <v>5160</v>
      </c>
      <c r="Q42" s="223">
        <v>45027</v>
      </c>
      <c r="R42" s="224"/>
      <c r="S42" s="222"/>
      <c r="T42" s="222"/>
      <c r="U42" s="316"/>
      <c r="V42" s="319"/>
      <c r="W42" s="310"/>
      <c r="X42" s="177">
        <v>29</v>
      </c>
    </row>
    <row r="43" spans="1:24" s="177" customFormat="1" x14ac:dyDescent="0.3">
      <c r="A43" s="318"/>
      <c r="B43" s="311"/>
      <c r="C43" s="311"/>
      <c r="D43" s="311"/>
      <c r="E43" s="313"/>
      <c r="F43" s="315"/>
      <c r="G43" s="311"/>
      <c r="H43" s="316"/>
      <c r="I43" s="317"/>
      <c r="J43" s="311"/>
      <c r="K43" s="311"/>
      <c r="L43" s="311"/>
      <c r="M43" s="311"/>
      <c r="N43" s="229">
        <v>45016</v>
      </c>
      <c r="O43" s="315"/>
      <c r="P43" s="222">
        <v>6020</v>
      </c>
      <c r="Q43" s="223">
        <v>45027</v>
      </c>
      <c r="R43" s="224"/>
      <c r="S43" s="222"/>
      <c r="T43" s="222"/>
      <c r="U43" s="316"/>
      <c r="V43" s="319"/>
      <c r="W43" s="310"/>
      <c r="X43" s="177">
        <v>29</v>
      </c>
    </row>
    <row r="44" spans="1:24" s="177" customFormat="1" x14ac:dyDescent="0.3">
      <c r="A44" s="318"/>
      <c r="B44" s="311"/>
      <c r="C44" s="311"/>
      <c r="D44" s="311"/>
      <c r="E44" s="313"/>
      <c r="F44" s="315"/>
      <c r="G44" s="311"/>
      <c r="H44" s="316"/>
      <c r="I44" s="317"/>
      <c r="J44" s="311"/>
      <c r="K44" s="311"/>
      <c r="L44" s="311"/>
      <c r="M44" s="311"/>
      <c r="N44" s="229">
        <v>45016</v>
      </c>
      <c r="O44" s="315"/>
      <c r="P44" s="222">
        <v>7440</v>
      </c>
      <c r="Q44" s="223">
        <v>45027</v>
      </c>
      <c r="R44" s="224"/>
      <c r="S44" s="222"/>
      <c r="T44" s="222"/>
      <c r="U44" s="316"/>
      <c r="V44" s="319"/>
      <c r="W44" s="310"/>
      <c r="X44" s="177">
        <v>29</v>
      </c>
    </row>
    <row r="45" spans="1:24" s="210" customFormat="1" x14ac:dyDescent="0.3">
      <c r="A45" s="318"/>
      <c r="B45" s="311"/>
      <c r="C45" s="311"/>
      <c r="D45" s="311"/>
      <c r="E45" s="313"/>
      <c r="F45" s="315"/>
      <c r="G45" s="311"/>
      <c r="H45" s="316"/>
      <c r="I45" s="317"/>
      <c r="J45" s="311"/>
      <c r="K45" s="311"/>
      <c r="L45" s="311"/>
      <c r="M45" s="311"/>
      <c r="N45" s="229">
        <v>45046</v>
      </c>
      <c r="O45" s="315"/>
      <c r="P45" s="222">
        <v>5040</v>
      </c>
      <c r="Q45" s="223">
        <v>45061</v>
      </c>
      <c r="R45" s="224"/>
      <c r="S45" s="222"/>
      <c r="T45" s="222"/>
      <c r="U45" s="316"/>
      <c r="V45" s="319"/>
      <c r="W45" s="310"/>
      <c r="X45" s="210">
        <v>29</v>
      </c>
    </row>
    <row r="46" spans="1:24" s="210" customFormat="1" x14ac:dyDescent="0.3">
      <c r="A46" s="318"/>
      <c r="B46" s="311"/>
      <c r="C46" s="311"/>
      <c r="D46" s="311"/>
      <c r="E46" s="313"/>
      <c r="F46" s="315"/>
      <c r="G46" s="311"/>
      <c r="H46" s="316"/>
      <c r="I46" s="317"/>
      <c r="J46" s="311"/>
      <c r="K46" s="311"/>
      <c r="L46" s="311"/>
      <c r="M46" s="311"/>
      <c r="N46" s="229">
        <v>45046</v>
      </c>
      <c r="O46" s="315"/>
      <c r="P46" s="222">
        <v>5880</v>
      </c>
      <c r="Q46" s="223">
        <v>45061</v>
      </c>
      <c r="R46" s="224"/>
      <c r="S46" s="222"/>
      <c r="T46" s="222"/>
      <c r="U46" s="316"/>
      <c r="V46" s="319"/>
      <c r="W46" s="310"/>
      <c r="X46" s="210">
        <v>29</v>
      </c>
    </row>
    <row r="47" spans="1:24" s="210" customFormat="1" x14ac:dyDescent="0.3">
      <c r="A47" s="295"/>
      <c r="B47" s="301"/>
      <c r="C47" s="301"/>
      <c r="D47" s="301"/>
      <c r="E47" s="314"/>
      <c r="F47" s="297"/>
      <c r="G47" s="301"/>
      <c r="H47" s="299"/>
      <c r="I47" s="309"/>
      <c r="J47" s="301"/>
      <c r="K47" s="301"/>
      <c r="L47" s="301"/>
      <c r="M47" s="301"/>
      <c r="N47" s="230">
        <v>45046</v>
      </c>
      <c r="O47" s="297"/>
      <c r="P47" s="225">
        <v>7200</v>
      </c>
      <c r="Q47" s="226">
        <v>45061</v>
      </c>
      <c r="R47" s="227"/>
      <c r="S47" s="225"/>
      <c r="T47" s="225"/>
      <c r="U47" s="299"/>
      <c r="V47" s="303"/>
      <c r="W47" s="305"/>
      <c r="X47" s="210">
        <v>29</v>
      </c>
    </row>
    <row r="48" spans="1:24" s="107" customFormat="1" ht="144" x14ac:dyDescent="0.3">
      <c r="A48" s="124">
        <v>11</v>
      </c>
      <c r="B48" s="125" t="s">
        <v>56</v>
      </c>
      <c r="C48" s="125" t="s">
        <v>146</v>
      </c>
      <c r="D48" s="125" t="s">
        <v>147</v>
      </c>
      <c r="E48" s="149">
        <v>17371</v>
      </c>
      <c r="F48" s="135">
        <v>44959</v>
      </c>
      <c r="G48" s="125" t="s">
        <v>215</v>
      </c>
      <c r="H48" s="127">
        <v>2800</v>
      </c>
      <c r="I48" s="128">
        <f>IF(X48 = 30, H48 + SUM(S48:S48) - SUM(T48:T48) - SUM(P48:P48) - V48,0)</f>
        <v>0</v>
      </c>
      <c r="J48" s="125" t="s">
        <v>216</v>
      </c>
      <c r="K48" s="125" t="s">
        <v>217</v>
      </c>
      <c r="L48" s="125" t="s">
        <v>146</v>
      </c>
      <c r="M48" s="125"/>
      <c r="N48" s="135">
        <v>44970</v>
      </c>
      <c r="O48" s="135" t="s">
        <v>181</v>
      </c>
      <c r="P48" s="127">
        <v>2800</v>
      </c>
      <c r="Q48" s="126">
        <v>44971</v>
      </c>
      <c r="R48" s="125"/>
      <c r="S48" s="127"/>
      <c r="T48" s="127"/>
      <c r="U48" s="127"/>
      <c r="V48" s="148"/>
      <c r="W48" s="133"/>
      <c r="X48" s="107">
        <v>30</v>
      </c>
    </row>
    <row r="49" spans="1:24" s="107" customFormat="1" ht="144" x14ac:dyDescent="0.3">
      <c r="A49" s="124">
        <v>12</v>
      </c>
      <c r="B49" s="125" t="s">
        <v>56</v>
      </c>
      <c r="C49" s="125" t="s">
        <v>146</v>
      </c>
      <c r="D49" s="125" t="s">
        <v>147</v>
      </c>
      <c r="E49" s="149">
        <v>45026</v>
      </c>
      <c r="F49" s="135">
        <v>44959</v>
      </c>
      <c r="G49" s="125" t="s">
        <v>218</v>
      </c>
      <c r="H49" s="127">
        <v>9000</v>
      </c>
      <c r="I49" s="128">
        <f>IF(X49 = 31, H49 + SUM(S49:S49) - SUM(T49:T49) - SUM(P49:P49) - V49,0)</f>
        <v>0</v>
      </c>
      <c r="J49" s="125" t="s">
        <v>219</v>
      </c>
      <c r="K49" s="125" t="s">
        <v>220</v>
      </c>
      <c r="L49" s="125" t="s">
        <v>146</v>
      </c>
      <c r="M49" s="125"/>
      <c r="N49" s="135">
        <v>44978</v>
      </c>
      <c r="O49" s="135" t="s">
        <v>181</v>
      </c>
      <c r="P49" s="127">
        <v>9000</v>
      </c>
      <c r="Q49" s="126">
        <v>44978</v>
      </c>
      <c r="R49" s="125"/>
      <c r="S49" s="127"/>
      <c r="T49" s="127"/>
      <c r="U49" s="127"/>
      <c r="V49" s="148"/>
      <c r="W49" s="133"/>
      <c r="X49" s="107">
        <v>31</v>
      </c>
    </row>
    <row r="50" spans="1:24" s="107" customFormat="1" ht="144" x14ac:dyDescent="0.3">
      <c r="A50" s="124">
        <v>13</v>
      </c>
      <c r="B50" s="125" t="s">
        <v>56</v>
      </c>
      <c r="C50" s="125" t="s">
        <v>146</v>
      </c>
      <c r="D50" s="125" t="s">
        <v>147</v>
      </c>
      <c r="E50" s="149">
        <v>40</v>
      </c>
      <c r="F50" s="135">
        <v>44972</v>
      </c>
      <c r="G50" s="125" t="s">
        <v>223</v>
      </c>
      <c r="H50" s="127">
        <v>6900</v>
      </c>
      <c r="I50" s="128">
        <f>IF(X50 = 32, H50 + SUM(S50:S50) - SUM(T50:T50) - SUM(P50:P50) - V50,0)</f>
        <v>0</v>
      </c>
      <c r="J50" s="125" t="s">
        <v>222</v>
      </c>
      <c r="K50" s="125" t="s">
        <v>221</v>
      </c>
      <c r="L50" s="125" t="s">
        <v>146</v>
      </c>
      <c r="M50" s="125"/>
      <c r="N50" s="135">
        <v>44979</v>
      </c>
      <c r="O50" s="135" t="s">
        <v>181</v>
      </c>
      <c r="P50" s="127">
        <v>6900</v>
      </c>
      <c r="Q50" s="126">
        <v>44979</v>
      </c>
      <c r="R50" s="125"/>
      <c r="S50" s="127"/>
      <c r="T50" s="127"/>
      <c r="U50" s="127"/>
      <c r="V50" s="148"/>
      <c r="W50" s="133"/>
      <c r="X50" s="107">
        <v>32</v>
      </c>
    </row>
    <row r="51" spans="1:24" s="107" customFormat="1" ht="144" x14ac:dyDescent="0.3">
      <c r="A51" s="151">
        <v>14</v>
      </c>
      <c r="B51" s="152" t="s">
        <v>56</v>
      </c>
      <c r="C51" s="152" t="s">
        <v>146</v>
      </c>
      <c r="D51" s="152" t="s">
        <v>147</v>
      </c>
      <c r="E51" s="161" t="s">
        <v>230</v>
      </c>
      <c r="F51" s="162">
        <v>44951</v>
      </c>
      <c r="G51" s="152" t="s">
        <v>231</v>
      </c>
      <c r="H51" s="154">
        <v>10000</v>
      </c>
      <c r="I51" s="155">
        <f>IF(X51 = 33, H51 + SUM(S51:S51) - SUM(T51:T51) - SUM(P51:P51) - V51,0)</f>
        <v>0</v>
      </c>
      <c r="J51" s="152" t="s">
        <v>232</v>
      </c>
      <c r="K51" s="152" t="s">
        <v>233</v>
      </c>
      <c r="L51" s="152" t="s">
        <v>146</v>
      </c>
      <c r="M51" s="152"/>
      <c r="N51" s="162"/>
      <c r="O51" s="162" t="s">
        <v>181</v>
      </c>
      <c r="P51" s="154">
        <v>10000</v>
      </c>
      <c r="Q51" s="153">
        <v>45002</v>
      </c>
      <c r="R51" s="152"/>
      <c r="S51" s="154"/>
      <c r="T51" s="154"/>
      <c r="U51" s="154"/>
      <c r="V51" s="156"/>
      <c r="W51" s="157"/>
      <c r="X51" s="107">
        <v>33</v>
      </c>
    </row>
    <row r="52" spans="1:24" s="107" customFormat="1" ht="144" x14ac:dyDescent="0.3">
      <c r="A52" s="151">
        <v>15</v>
      </c>
      <c r="B52" s="152" t="s">
        <v>56</v>
      </c>
      <c r="C52" s="152" t="s">
        <v>146</v>
      </c>
      <c r="D52" s="152" t="s">
        <v>147</v>
      </c>
      <c r="E52" s="161">
        <v>49</v>
      </c>
      <c r="F52" s="162">
        <v>44994</v>
      </c>
      <c r="G52" s="152" t="s">
        <v>238</v>
      </c>
      <c r="H52" s="154">
        <v>9200</v>
      </c>
      <c r="I52" s="155">
        <f>IF(X52 = 34, H52 + SUM(S52:S52) - SUM(T52:T52) - SUM(P52:P52) - V52,0)</f>
        <v>0</v>
      </c>
      <c r="J52" s="125" t="s">
        <v>222</v>
      </c>
      <c r="K52" s="125" t="s">
        <v>221</v>
      </c>
      <c r="L52" s="152" t="s">
        <v>146</v>
      </c>
      <c r="M52" s="152"/>
      <c r="N52" s="162"/>
      <c r="O52" s="162" t="s">
        <v>181</v>
      </c>
      <c r="P52" s="154">
        <v>9200</v>
      </c>
      <c r="Q52" s="153">
        <v>45002</v>
      </c>
      <c r="R52" s="152"/>
      <c r="S52" s="154"/>
      <c r="T52" s="154"/>
      <c r="U52" s="154"/>
      <c r="V52" s="156"/>
      <c r="W52" s="157"/>
      <c r="X52" s="107">
        <v>34</v>
      </c>
    </row>
    <row r="53" spans="1:24" s="107" customFormat="1" ht="75" customHeight="1" x14ac:dyDescent="0.3">
      <c r="A53" s="324">
        <v>16</v>
      </c>
      <c r="B53" s="333" t="s">
        <v>56</v>
      </c>
      <c r="C53" s="333" t="s">
        <v>146</v>
      </c>
      <c r="D53" s="333" t="s">
        <v>147</v>
      </c>
      <c r="E53" s="348" t="s">
        <v>239</v>
      </c>
      <c r="F53" s="327">
        <v>45000</v>
      </c>
      <c r="G53" s="333" t="s">
        <v>240</v>
      </c>
      <c r="H53" s="330">
        <v>1400</v>
      </c>
      <c r="I53" s="345">
        <f>IF(X53 = 35, H53 + SUM(S53:S54) - SUM(T53:T54) - SUM(P53:P54) - V53,0)</f>
        <v>0</v>
      </c>
      <c r="J53" s="333" t="s">
        <v>241</v>
      </c>
      <c r="K53" s="333" t="s">
        <v>242</v>
      </c>
      <c r="L53" s="333" t="s">
        <v>146</v>
      </c>
      <c r="M53" s="333"/>
      <c r="N53" s="198"/>
      <c r="O53" s="327" t="s">
        <v>243</v>
      </c>
      <c r="P53" s="189">
        <v>420</v>
      </c>
      <c r="Q53" s="190">
        <v>45006</v>
      </c>
      <c r="R53" s="191"/>
      <c r="S53" s="189"/>
      <c r="T53" s="189"/>
      <c r="U53" s="330"/>
      <c r="V53" s="336"/>
      <c r="W53" s="339"/>
      <c r="X53" s="107">
        <v>35</v>
      </c>
    </row>
    <row r="54" spans="1:24" s="177" customFormat="1" x14ac:dyDescent="0.3">
      <c r="A54" s="326"/>
      <c r="B54" s="335"/>
      <c r="C54" s="335"/>
      <c r="D54" s="335"/>
      <c r="E54" s="349"/>
      <c r="F54" s="329"/>
      <c r="G54" s="335"/>
      <c r="H54" s="332"/>
      <c r="I54" s="347"/>
      <c r="J54" s="335"/>
      <c r="K54" s="335"/>
      <c r="L54" s="335"/>
      <c r="M54" s="335"/>
      <c r="N54" s="200"/>
      <c r="O54" s="329"/>
      <c r="P54" s="195">
        <v>980</v>
      </c>
      <c r="Q54" s="196">
        <v>45021</v>
      </c>
      <c r="R54" s="197"/>
      <c r="S54" s="195"/>
      <c r="T54" s="195"/>
      <c r="U54" s="332"/>
      <c r="V54" s="338"/>
      <c r="W54" s="341"/>
      <c r="X54" s="177">
        <v>35</v>
      </c>
    </row>
    <row r="55" spans="1:24" s="107" customFormat="1" ht="168.75" customHeight="1" x14ac:dyDescent="0.3">
      <c r="A55" s="390">
        <v>17</v>
      </c>
      <c r="B55" s="396" t="s">
        <v>56</v>
      </c>
      <c r="C55" s="396" t="s">
        <v>146</v>
      </c>
      <c r="D55" s="396" t="s">
        <v>147</v>
      </c>
      <c r="E55" s="402">
        <v>13</v>
      </c>
      <c r="F55" s="392">
        <v>45001</v>
      </c>
      <c r="G55" s="396" t="s">
        <v>244</v>
      </c>
      <c r="H55" s="394">
        <v>15363</v>
      </c>
      <c r="I55" s="404">
        <f>IF(X55 = 36, H55 + SUM(S55:S56) - SUM(T55:T56) - SUM(P55:P56) - V55,0)</f>
        <v>0</v>
      </c>
      <c r="J55" s="396" t="s">
        <v>245</v>
      </c>
      <c r="K55" s="396" t="s">
        <v>246</v>
      </c>
      <c r="L55" s="396" t="s">
        <v>146</v>
      </c>
      <c r="M55" s="396"/>
      <c r="N55" s="163">
        <v>45005</v>
      </c>
      <c r="O55" s="392" t="s">
        <v>235</v>
      </c>
      <c r="P55" s="164">
        <v>12675</v>
      </c>
      <c r="Q55" s="165">
        <v>45006</v>
      </c>
      <c r="R55" s="166"/>
      <c r="S55" s="164"/>
      <c r="T55" s="164"/>
      <c r="U55" s="394"/>
      <c r="V55" s="398"/>
      <c r="W55" s="400"/>
      <c r="X55" s="107">
        <v>36</v>
      </c>
    </row>
    <row r="56" spans="1:24" s="150" customFormat="1" x14ac:dyDescent="0.3">
      <c r="A56" s="391"/>
      <c r="B56" s="397"/>
      <c r="C56" s="397"/>
      <c r="D56" s="397"/>
      <c r="E56" s="403"/>
      <c r="F56" s="393"/>
      <c r="G56" s="397"/>
      <c r="H56" s="395"/>
      <c r="I56" s="405"/>
      <c r="J56" s="397"/>
      <c r="K56" s="397"/>
      <c r="L56" s="397"/>
      <c r="M56" s="397"/>
      <c r="N56" s="167">
        <v>45005</v>
      </c>
      <c r="O56" s="393"/>
      <c r="P56" s="168">
        <v>2688</v>
      </c>
      <c r="Q56" s="169">
        <v>45006</v>
      </c>
      <c r="R56" s="170"/>
      <c r="S56" s="168"/>
      <c r="T56" s="168"/>
      <c r="U56" s="395"/>
      <c r="V56" s="399"/>
      <c r="W56" s="401"/>
      <c r="X56" s="150">
        <v>36</v>
      </c>
    </row>
    <row r="57" spans="1:24" s="107" customFormat="1" ht="168.75" customHeight="1" x14ac:dyDescent="0.3">
      <c r="A57" s="294">
        <v>18</v>
      </c>
      <c r="B57" s="300" t="s">
        <v>56</v>
      </c>
      <c r="C57" s="300" t="s">
        <v>146</v>
      </c>
      <c r="D57" s="300" t="s">
        <v>147</v>
      </c>
      <c r="E57" s="306" t="s">
        <v>255</v>
      </c>
      <c r="F57" s="296">
        <v>44953</v>
      </c>
      <c r="G57" s="300" t="s">
        <v>256</v>
      </c>
      <c r="H57" s="298">
        <v>12096</v>
      </c>
      <c r="I57" s="308">
        <f>IF(X57 = 38, H57 + SUM(S57:S58) - SUM(T57:T58) - SUM(P57:P58) - V57,0)</f>
        <v>4536</v>
      </c>
      <c r="J57" s="300" t="s">
        <v>257</v>
      </c>
      <c r="K57" s="300" t="s">
        <v>258</v>
      </c>
      <c r="L57" s="300" t="s">
        <v>146</v>
      </c>
      <c r="M57" s="300"/>
      <c r="N57" s="228"/>
      <c r="O57" s="296" t="s">
        <v>181</v>
      </c>
      <c r="P57" s="219">
        <v>6048</v>
      </c>
      <c r="Q57" s="220">
        <v>45035</v>
      </c>
      <c r="R57" s="221"/>
      <c r="S57" s="219"/>
      <c r="T57" s="219"/>
      <c r="U57" s="298"/>
      <c r="V57" s="302"/>
      <c r="W57" s="304"/>
      <c r="X57" s="107">
        <v>38</v>
      </c>
    </row>
    <row r="58" spans="1:24" s="210" customFormat="1" x14ac:dyDescent="0.3">
      <c r="A58" s="295"/>
      <c r="B58" s="301"/>
      <c r="C58" s="301"/>
      <c r="D58" s="301"/>
      <c r="E58" s="307"/>
      <c r="F58" s="297"/>
      <c r="G58" s="301"/>
      <c r="H58" s="299"/>
      <c r="I58" s="309"/>
      <c r="J58" s="301"/>
      <c r="K58" s="301"/>
      <c r="L58" s="301"/>
      <c r="M58" s="301"/>
      <c r="N58" s="230"/>
      <c r="O58" s="297"/>
      <c r="P58" s="225">
        <v>1512</v>
      </c>
      <c r="Q58" s="226">
        <v>45051</v>
      </c>
      <c r="R58" s="227"/>
      <c r="S58" s="225"/>
      <c r="T58" s="225"/>
      <c r="U58" s="299"/>
      <c r="V58" s="303"/>
      <c r="W58" s="305"/>
      <c r="X58" s="210">
        <v>38</v>
      </c>
    </row>
    <row r="59" spans="1:24" s="107" customFormat="1" ht="144" x14ac:dyDescent="0.3">
      <c r="A59" s="178">
        <v>19</v>
      </c>
      <c r="B59" s="179" t="s">
        <v>56</v>
      </c>
      <c r="C59" s="179" t="s">
        <v>146</v>
      </c>
      <c r="D59" s="179" t="s">
        <v>147</v>
      </c>
      <c r="E59" s="180">
        <v>5</v>
      </c>
      <c r="F59" s="185">
        <v>45015</v>
      </c>
      <c r="G59" s="179" t="s">
        <v>196</v>
      </c>
      <c r="H59" s="181">
        <v>25212</v>
      </c>
      <c r="I59" s="182">
        <f>IF(X59 = 39, H59 + SUM(S59:S59) - SUM(T59:T59) - SUM(P59:P59) - V59,0)</f>
        <v>0</v>
      </c>
      <c r="J59" s="179" t="s">
        <v>260</v>
      </c>
      <c r="K59" s="179" t="s">
        <v>259</v>
      </c>
      <c r="L59" s="179" t="s">
        <v>146</v>
      </c>
      <c r="M59" s="179"/>
      <c r="N59" s="185"/>
      <c r="O59" s="185" t="s">
        <v>181</v>
      </c>
      <c r="P59" s="181">
        <v>25212</v>
      </c>
      <c r="Q59" s="183">
        <v>45044</v>
      </c>
      <c r="R59" s="179"/>
      <c r="S59" s="181"/>
      <c r="T59" s="181"/>
      <c r="U59" s="181"/>
      <c r="V59" s="184"/>
      <c r="W59" s="176"/>
      <c r="X59" s="107">
        <v>39</v>
      </c>
    </row>
    <row r="60" spans="1:24" s="107" customFormat="1" ht="144" x14ac:dyDescent="0.3">
      <c r="A60" s="178">
        <v>20</v>
      </c>
      <c r="B60" s="179" t="s">
        <v>56</v>
      </c>
      <c r="C60" s="179" t="s">
        <v>146</v>
      </c>
      <c r="D60" s="179" t="s">
        <v>147</v>
      </c>
      <c r="E60" s="180" t="s">
        <v>261</v>
      </c>
      <c r="F60" s="185">
        <v>45034</v>
      </c>
      <c r="G60" s="179" t="s">
        <v>262</v>
      </c>
      <c r="H60" s="181">
        <v>7600</v>
      </c>
      <c r="I60" s="182">
        <f>IF(X60 = 40, H60 + SUM(S60:S60) - SUM(T60:T60) - SUM(P60:P60) - V60,0)</f>
        <v>0</v>
      </c>
      <c r="J60" s="179" t="s">
        <v>263</v>
      </c>
      <c r="K60" s="179" t="s">
        <v>264</v>
      </c>
      <c r="L60" s="179" t="s">
        <v>146</v>
      </c>
      <c r="M60" s="179"/>
      <c r="N60" s="185"/>
      <c r="O60" s="185" t="s">
        <v>181</v>
      </c>
      <c r="P60" s="181">
        <v>7600</v>
      </c>
      <c r="Q60" s="183">
        <v>45035</v>
      </c>
      <c r="R60" s="179"/>
      <c r="S60" s="181"/>
      <c r="T60" s="181"/>
      <c r="U60" s="181"/>
      <c r="V60" s="184"/>
      <c r="W60" s="176"/>
      <c r="X60" s="107">
        <v>40</v>
      </c>
    </row>
    <row r="61" spans="1:24" s="107" customFormat="1" ht="144" x14ac:dyDescent="0.3">
      <c r="A61" s="178">
        <v>21</v>
      </c>
      <c r="B61" s="179" t="s">
        <v>56</v>
      </c>
      <c r="C61" s="179" t="s">
        <v>146</v>
      </c>
      <c r="D61" s="179" t="s">
        <v>147</v>
      </c>
      <c r="E61" s="180" t="s">
        <v>266</v>
      </c>
      <c r="F61" s="185">
        <v>45016</v>
      </c>
      <c r="G61" s="179" t="s">
        <v>267</v>
      </c>
      <c r="H61" s="181">
        <v>5000</v>
      </c>
      <c r="I61" s="182">
        <f>IF(X61 = 41, H61 + SUM(S61:S61) - SUM(T61:T61) - SUM(P61:P61) - V61,0)</f>
        <v>0</v>
      </c>
      <c r="J61" s="179" t="s">
        <v>268</v>
      </c>
      <c r="K61" s="179" t="s">
        <v>269</v>
      </c>
      <c r="L61" s="179" t="s">
        <v>146</v>
      </c>
      <c r="M61" s="179"/>
      <c r="N61" s="185"/>
      <c r="O61" s="185" t="s">
        <v>181</v>
      </c>
      <c r="P61" s="181">
        <v>5000</v>
      </c>
      <c r="Q61" s="183">
        <v>45023</v>
      </c>
      <c r="R61" s="179"/>
      <c r="S61" s="181"/>
      <c r="T61" s="181"/>
      <c r="U61" s="181"/>
      <c r="V61" s="184"/>
      <c r="W61" s="176"/>
      <c r="X61" s="107">
        <v>41</v>
      </c>
    </row>
    <row r="62" spans="1:24" s="107" customFormat="1" ht="144" x14ac:dyDescent="0.3">
      <c r="A62" s="178">
        <v>22</v>
      </c>
      <c r="B62" s="179" t="s">
        <v>56</v>
      </c>
      <c r="C62" s="179" t="s">
        <v>146</v>
      </c>
      <c r="D62" s="179" t="s">
        <v>147</v>
      </c>
      <c r="E62" s="180" t="s">
        <v>273</v>
      </c>
      <c r="F62" s="185">
        <v>45020</v>
      </c>
      <c r="G62" s="179" t="s">
        <v>272</v>
      </c>
      <c r="H62" s="181">
        <v>3000</v>
      </c>
      <c r="I62" s="182">
        <f>IF(X62 = 42, H62 + SUM(S62:S62) - SUM(T62:T62) - SUM(P62:P62) - V62,0)</f>
        <v>0</v>
      </c>
      <c r="J62" s="179" t="s">
        <v>271</v>
      </c>
      <c r="K62" s="179" t="s">
        <v>270</v>
      </c>
      <c r="L62" s="179" t="s">
        <v>146</v>
      </c>
      <c r="M62" s="179"/>
      <c r="N62" s="185"/>
      <c r="O62" s="185" t="s">
        <v>235</v>
      </c>
      <c r="P62" s="181">
        <v>3000</v>
      </c>
      <c r="Q62" s="183">
        <v>45023</v>
      </c>
      <c r="R62" s="179"/>
      <c r="S62" s="181"/>
      <c r="T62" s="181"/>
      <c r="U62" s="181"/>
      <c r="V62" s="184"/>
      <c r="W62" s="176"/>
      <c r="X62" s="107">
        <v>42</v>
      </c>
    </row>
    <row r="63" spans="1:24" s="107" customFormat="1" ht="144" x14ac:dyDescent="0.3">
      <c r="A63" s="178">
        <v>23</v>
      </c>
      <c r="B63" s="179" t="s">
        <v>56</v>
      </c>
      <c r="C63" s="179" t="s">
        <v>146</v>
      </c>
      <c r="D63" s="179" t="s">
        <v>147</v>
      </c>
      <c r="E63" s="180" t="s">
        <v>284</v>
      </c>
      <c r="F63" s="185">
        <v>45026</v>
      </c>
      <c r="G63" s="179" t="s">
        <v>287</v>
      </c>
      <c r="H63" s="181">
        <v>14422.5</v>
      </c>
      <c r="I63" s="182">
        <f>IF(X63 = 43, H63 + SUM(S63:S63) - SUM(T63:T63) - SUM(P63:P63) - V63,0)</f>
        <v>0</v>
      </c>
      <c r="J63" s="179" t="s">
        <v>286</v>
      </c>
      <c r="K63" s="179" t="s">
        <v>285</v>
      </c>
      <c r="L63" s="179" t="s">
        <v>146</v>
      </c>
      <c r="M63" s="179"/>
      <c r="N63" s="185">
        <v>45062</v>
      </c>
      <c r="O63" s="185" t="s">
        <v>181</v>
      </c>
      <c r="P63" s="181">
        <v>14422.5</v>
      </c>
      <c r="Q63" s="183">
        <v>45064</v>
      </c>
      <c r="R63" s="179"/>
      <c r="S63" s="181"/>
      <c r="T63" s="181"/>
      <c r="U63" s="181"/>
      <c r="V63" s="184"/>
      <c r="W63" s="176"/>
      <c r="X63" s="107">
        <v>43</v>
      </c>
    </row>
    <row r="64" spans="1:24" s="107" customFormat="1" ht="144" x14ac:dyDescent="0.3">
      <c r="A64" s="178">
        <v>24</v>
      </c>
      <c r="B64" s="179" t="s">
        <v>56</v>
      </c>
      <c r="C64" s="179" t="s">
        <v>146</v>
      </c>
      <c r="D64" s="179" t="s">
        <v>147</v>
      </c>
      <c r="E64" s="180">
        <v>19</v>
      </c>
      <c r="F64" s="185">
        <v>45026</v>
      </c>
      <c r="G64" s="179" t="s">
        <v>59</v>
      </c>
      <c r="H64" s="181">
        <v>4485</v>
      </c>
      <c r="I64" s="182">
        <f>IF(X64 = 44, H64 + SUM(S64:S64) - SUM(T64:T64) - SUM(P64:P64) - V64,0)</f>
        <v>0</v>
      </c>
      <c r="J64" s="179" t="s">
        <v>289</v>
      </c>
      <c r="K64" s="179" t="s">
        <v>288</v>
      </c>
      <c r="L64" s="179" t="s">
        <v>146</v>
      </c>
      <c r="M64" s="179"/>
      <c r="N64" s="185"/>
      <c r="O64" s="185" t="s">
        <v>235</v>
      </c>
      <c r="P64" s="181">
        <v>4485</v>
      </c>
      <c r="Q64" s="183">
        <v>45030</v>
      </c>
      <c r="R64" s="179"/>
      <c r="S64" s="181"/>
      <c r="T64" s="181"/>
      <c r="U64" s="181"/>
      <c r="V64" s="184"/>
      <c r="W64" s="176"/>
      <c r="X64" s="107">
        <v>44</v>
      </c>
    </row>
    <row r="65" spans="1:24" s="107" customFormat="1" ht="144" x14ac:dyDescent="0.3">
      <c r="A65" s="178">
        <v>25</v>
      </c>
      <c r="B65" s="179" t="s">
        <v>56</v>
      </c>
      <c r="C65" s="179" t="s">
        <v>146</v>
      </c>
      <c r="D65" s="179" t="s">
        <v>147</v>
      </c>
      <c r="E65" s="180">
        <v>10</v>
      </c>
      <c r="F65" s="185">
        <v>45043</v>
      </c>
      <c r="G65" s="179" t="s">
        <v>295</v>
      </c>
      <c r="H65" s="181">
        <v>4590</v>
      </c>
      <c r="I65" s="182">
        <f>IF(X65 = 45, H65 + SUM(S65:S65) - SUM(T65:T65) - SUM(P65:P65) - V65,0)</f>
        <v>4590</v>
      </c>
      <c r="J65" s="179" t="s">
        <v>296</v>
      </c>
      <c r="K65" s="179" t="s">
        <v>297</v>
      </c>
      <c r="L65" s="179" t="s">
        <v>146</v>
      </c>
      <c r="M65" s="179"/>
      <c r="N65" s="185"/>
      <c r="O65" s="185" t="s">
        <v>181</v>
      </c>
      <c r="P65" s="181"/>
      <c r="Q65" s="183"/>
      <c r="R65" s="179"/>
      <c r="S65" s="181"/>
      <c r="T65" s="181"/>
      <c r="U65" s="181"/>
      <c r="V65" s="184"/>
      <c r="W65" s="176"/>
      <c r="X65" s="107">
        <v>45</v>
      </c>
    </row>
    <row r="66" spans="1:24" s="107" customFormat="1" ht="144" x14ac:dyDescent="0.3">
      <c r="A66" s="212">
        <v>26</v>
      </c>
      <c r="B66" s="213" t="s">
        <v>56</v>
      </c>
      <c r="C66" s="213" t="s">
        <v>146</v>
      </c>
      <c r="D66" s="213" t="s">
        <v>147</v>
      </c>
      <c r="E66" s="214">
        <v>24</v>
      </c>
      <c r="F66" s="243">
        <v>45050</v>
      </c>
      <c r="G66" s="213" t="s">
        <v>302</v>
      </c>
      <c r="H66" s="215">
        <v>3750</v>
      </c>
      <c r="I66" s="216">
        <f>IF(X66 = 46, H66 + SUM(S66:S66) - SUM(T66:T66) - SUM(P66:P66) - V66,0)</f>
        <v>0</v>
      </c>
      <c r="J66" s="213" t="s">
        <v>303</v>
      </c>
      <c r="K66" s="213" t="s">
        <v>304</v>
      </c>
      <c r="L66" s="213" t="s">
        <v>146</v>
      </c>
      <c r="M66" s="213"/>
      <c r="N66" s="243"/>
      <c r="O66" s="243" t="s">
        <v>181</v>
      </c>
      <c r="P66" s="215">
        <v>3750</v>
      </c>
      <c r="Q66" s="218">
        <v>45061</v>
      </c>
      <c r="R66" s="213"/>
      <c r="S66" s="215"/>
      <c r="T66" s="215"/>
      <c r="U66" s="215"/>
      <c r="V66" s="217"/>
      <c r="W66" s="211"/>
      <c r="X66" s="107">
        <v>46</v>
      </c>
    </row>
    <row r="67" spans="1:24" s="107" customFormat="1" ht="36" x14ac:dyDescent="0.3">
      <c r="A67" s="212">
        <v>27</v>
      </c>
      <c r="B67" s="213" t="s">
        <v>56</v>
      </c>
      <c r="C67" s="213" t="s">
        <v>146</v>
      </c>
      <c r="D67" s="213" t="s">
        <v>147</v>
      </c>
      <c r="E67" s="214" t="s">
        <v>307</v>
      </c>
      <c r="F67" s="243">
        <v>45061</v>
      </c>
      <c r="G67" s="213" t="s">
        <v>308</v>
      </c>
      <c r="H67" s="215">
        <v>7348.98</v>
      </c>
      <c r="I67" s="216">
        <f>IF(X67 = 47, H67 + SUM(S67:S67) - SUM(T67:T67) - SUM(P67:P67) - V67,0)</f>
        <v>0</v>
      </c>
      <c r="J67" s="213" t="s">
        <v>309</v>
      </c>
      <c r="K67" s="213" t="s">
        <v>310</v>
      </c>
      <c r="L67" s="213" t="s">
        <v>146</v>
      </c>
      <c r="M67" s="213"/>
      <c r="N67" s="243"/>
      <c r="O67" s="243" t="s">
        <v>311</v>
      </c>
      <c r="P67" s="215">
        <v>7348.98</v>
      </c>
      <c r="Q67" s="218">
        <v>45070</v>
      </c>
      <c r="R67" s="213"/>
      <c r="S67" s="215"/>
      <c r="T67" s="215"/>
      <c r="U67" s="215"/>
      <c r="V67" s="217"/>
      <c r="W67" s="211"/>
      <c r="X67" s="107">
        <v>47</v>
      </c>
    </row>
    <row r="68" spans="1:24" s="107" customFormat="1" ht="144" x14ac:dyDescent="0.3">
      <c r="A68" s="212">
        <v>28</v>
      </c>
      <c r="B68" s="213" t="s">
        <v>56</v>
      </c>
      <c r="C68" s="213" t="s">
        <v>146</v>
      </c>
      <c r="D68" s="213" t="s">
        <v>147</v>
      </c>
      <c r="E68" s="214" t="s">
        <v>312</v>
      </c>
      <c r="F68" s="243">
        <v>45068</v>
      </c>
      <c r="G68" s="213" t="s">
        <v>313</v>
      </c>
      <c r="H68" s="215">
        <v>100000</v>
      </c>
      <c r="I68" s="216">
        <f>IF(X68 = 48, H68 + SUM(S68:S68) - SUM(T68:T68) - SUM(P68:P68) - V68,0)</f>
        <v>100000</v>
      </c>
      <c r="J68" s="213" t="s">
        <v>314</v>
      </c>
      <c r="K68" s="213" t="s">
        <v>315</v>
      </c>
      <c r="L68" s="213" t="s">
        <v>146</v>
      </c>
      <c r="M68" s="213"/>
      <c r="N68" s="243"/>
      <c r="O68" s="243" t="s">
        <v>181</v>
      </c>
      <c r="P68" s="215"/>
      <c r="Q68" s="218"/>
      <c r="R68" s="213"/>
      <c r="S68" s="215"/>
      <c r="T68" s="215"/>
      <c r="U68" s="215"/>
      <c r="V68" s="217"/>
      <c r="W68" s="211"/>
      <c r="X68" s="107">
        <v>48</v>
      </c>
    </row>
    <row r="69" spans="1:24" x14ac:dyDescent="0.3">
      <c r="A69" s="14"/>
      <c r="B69" s="109"/>
      <c r="C69" s="14"/>
      <c r="D69" s="14"/>
      <c r="E69" s="29"/>
      <c r="F69" s="14"/>
      <c r="G69" s="14"/>
      <c r="H69" s="15"/>
      <c r="I69" s="15"/>
      <c r="J69" s="14"/>
      <c r="K69" s="14"/>
      <c r="L69" s="14"/>
      <c r="M69" s="14"/>
      <c r="N69" s="29"/>
      <c r="O69" s="14"/>
      <c r="P69" s="104"/>
      <c r="Q69" s="29"/>
      <c r="R69" s="16"/>
      <c r="S69" s="16"/>
      <c r="T69" s="16"/>
      <c r="U69" s="29"/>
      <c r="V69" s="104"/>
      <c r="W69" s="16"/>
      <c r="X69" s="8">
        <v>49</v>
      </c>
    </row>
    <row r="70" spans="1:24" s="2" customFormat="1" x14ac:dyDescent="0.3">
      <c r="A70" s="41"/>
      <c r="B70" s="110"/>
      <c r="C70" s="41"/>
      <c r="D70" s="41"/>
      <c r="E70" s="42"/>
      <c r="F70" s="41"/>
      <c r="G70" s="41"/>
      <c r="H70" s="44"/>
      <c r="I70" s="44"/>
      <c r="J70" s="41"/>
      <c r="K70" s="41"/>
      <c r="L70" s="41"/>
      <c r="M70" s="41"/>
      <c r="N70" s="42"/>
      <c r="O70" s="41"/>
      <c r="P70" s="40"/>
      <c r="Q70" s="42"/>
      <c r="U70" s="42"/>
      <c r="V70" s="40"/>
    </row>
    <row r="71" spans="1:24" s="2" customFormat="1" x14ac:dyDescent="0.3">
      <c r="A71" s="41"/>
      <c r="B71" s="110"/>
      <c r="C71" s="41"/>
      <c r="D71" s="41"/>
      <c r="E71" s="42"/>
      <c r="F71" s="41"/>
      <c r="G71" s="41"/>
      <c r="H71" s="44"/>
      <c r="I71" s="44"/>
      <c r="J71" s="41"/>
      <c r="K71" s="41"/>
      <c r="L71" s="41"/>
      <c r="M71" s="41"/>
      <c r="N71" s="42"/>
      <c r="O71" s="41"/>
      <c r="P71" s="40"/>
      <c r="Q71" s="42"/>
      <c r="U71" s="42"/>
      <c r="V71" s="40"/>
    </row>
    <row r="72" spans="1:24" s="2" customFormat="1" x14ac:dyDescent="0.3">
      <c r="A72" s="41"/>
      <c r="B72" s="110"/>
      <c r="C72" s="41"/>
      <c r="D72" s="41"/>
      <c r="E72" s="42"/>
      <c r="F72" s="41"/>
      <c r="G72" s="41"/>
      <c r="H72" s="44"/>
      <c r="I72" s="44"/>
      <c r="J72" s="41"/>
      <c r="K72" s="41"/>
      <c r="L72" s="41"/>
      <c r="M72" s="41"/>
      <c r="N72" s="42"/>
      <c r="O72" s="41"/>
      <c r="P72" s="40"/>
      <c r="Q72" s="42"/>
      <c r="U72" s="42"/>
      <c r="V72" s="40"/>
    </row>
    <row r="73" spans="1:24" s="2" customFormat="1" x14ac:dyDescent="0.3">
      <c r="A73" s="41"/>
      <c r="B73" s="110"/>
      <c r="C73" s="41"/>
      <c r="D73" s="41"/>
      <c r="E73" s="42"/>
      <c r="F73" s="41"/>
      <c r="G73" s="41"/>
      <c r="H73" s="44"/>
      <c r="I73" s="44"/>
      <c r="J73" s="41"/>
      <c r="K73" s="41"/>
      <c r="L73" s="41"/>
      <c r="M73" s="41"/>
      <c r="N73" s="42"/>
      <c r="O73" s="41"/>
      <c r="P73" s="40"/>
      <c r="Q73" s="42"/>
      <c r="U73" s="42"/>
      <c r="V73" s="40"/>
    </row>
    <row r="74" spans="1:24" s="2" customFormat="1" x14ac:dyDescent="0.3">
      <c r="A74" s="41"/>
      <c r="B74" s="110"/>
      <c r="C74" s="41"/>
      <c r="D74" s="41"/>
      <c r="E74" s="42"/>
      <c r="F74" s="41"/>
      <c r="G74" s="41"/>
      <c r="H74" s="44"/>
      <c r="I74" s="44"/>
      <c r="J74" s="41"/>
      <c r="K74" s="41"/>
      <c r="L74" s="41"/>
      <c r="M74" s="41"/>
      <c r="N74" s="42"/>
      <c r="O74" s="41"/>
      <c r="P74" s="40"/>
      <c r="Q74" s="42"/>
      <c r="U74" s="42"/>
      <c r="V74" s="40"/>
    </row>
  </sheetData>
  <sheetProtection password="EB34" sheet="1" objects="1" scenarios="1" formatCells="0" formatColumns="0" formatRows="0"/>
  <mergeCells count="194">
    <mergeCell ref="A55:A56"/>
    <mergeCell ref="O55:O56"/>
    <mergeCell ref="U55:U56"/>
    <mergeCell ref="B55:B56"/>
    <mergeCell ref="V55:V56"/>
    <mergeCell ref="C55:C56"/>
    <mergeCell ref="W55:W56"/>
    <mergeCell ref="D55:D56"/>
    <mergeCell ref="E55:E56"/>
    <mergeCell ref="F55:F56"/>
    <mergeCell ref="G55:G56"/>
    <mergeCell ref="H55:H56"/>
    <mergeCell ref="I55:I56"/>
    <mergeCell ref="J55:J56"/>
    <mergeCell ref="K55:K56"/>
    <mergeCell ref="L55:L56"/>
    <mergeCell ref="M55:M56"/>
    <mergeCell ref="U15:U18"/>
    <mergeCell ref="B15:B18"/>
    <mergeCell ref="A11:A14"/>
    <mergeCell ref="O11:O14"/>
    <mergeCell ref="W15:W18"/>
    <mergeCell ref="A9:A10"/>
    <mergeCell ref="O9:O10"/>
    <mergeCell ref="U9:U10"/>
    <mergeCell ref="B9:B10"/>
    <mergeCell ref="V9:V10"/>
    <mergeCell ref="C9:C10"/>
    <mergeCell ref="D9:D10"/>
    <mergeCell ref="E9:E10"/>
    <mergeCell ref="W9:W10"/>
    <mergeCell ref="F9:F10"/>
    <mergeCell ref="G9:G10"/>
    <mergeCell ref="H9:H10"/>
    <mergeCell ref="A3:E3"/>
    <mergeCell ref="S2:U2"/>
    <mergeCell ref="N2:O2"/>
    <mergeCell ref="J4:K4"/>
    <mergeCell ref="M4:N4"/>
    <mergeCell ref="O4:P4"/>
    <mergeCell ref="K2:M2"/>
    <mergeCell ref="I9:I10"/>
    <mergeCell ref="J9:J10"/>
    <mergeCell ref="K9:K10"/>
    <mergeCell ref="L9:L10"/>
    <mergeCell ref="H15:H18"/>
    <mergeCell ref="I15:I18"/>
    <mergeCell ref="J15:J18"/>
    <mergeCell ref="K15:K18"/>
    <mergeCell ref="L15:L18"/>
    <mergeCell ref="M15:M18"/>
    <mergeCell ref="M9:M10"/>
    <mergeCell ref="A15:A18"/>
    <mergeCell ref="O15:O18"/>
    <mergeCell ref="M27:M29"/>
    <mergeCell ref="A53:A54"/>
    <mergeCell ref="O53:O54"/>
    <mergeCell ref="U53:U54"/>
    <mergeCell ref="B53:B54"/>
    <mergeCell ref="V53:V54"/>
    <mergeCell ref="C53:C54"/>
    <mergeCell ref="W53:W54"/>
    <mergeCell ref="D53:D54"/>
    <mergeCell ref="E53:E54"/>
    <mergeCell ref="F53:F54"/>
    <mergeCell ref="G53:G54"/>
    <mergeCell ref="H53:H54"/>
    <mergeCell ref="I53:I54"/>
    <mergeCell ref="J53:J54"/>
    <mergeCell ref="K53:K54"/>
    <mergeCell ref="L53:L54"/>
    <mergeCell ref="M53:M54"/>
    <mergeCell ref="W30:W33"/>
    <mergeCell ref="A19:A22"/>
    <mergeCell ref="O19:O22"/>
    <mergeCell ref="U19:U22"/>
    <mergeCell ref="B19:B22"/>
    <mergeCell ref="V19:V22"/>
    <mergeCell ref="C19:C22"/>
    <mergeCell ref="W19:W22"/>
    <mergeCell ref="A27:A29"/>
    <mergeCell ref="O27:O29"/>
    <mergeCell ref="U27:U29"/>
    <mergeCell ref="B27:B29"/>
    <mergeCell ref="V27:V29"/>
    <mergeCell ref="C27:C29"/>
    <mergeCell ref="W27:W29"/>
    <mergeCell ref="D27:D29"/>
    <mergeCell ref="E27:E29"/>
    <mergeCell ref="F27:F29"/>
    <mergeCell ref="G27:G29"/>
    <mergeCell ref="H27:H29"/>
    <mergeCell ref="I27:I29"/>
    <mergeCell ref="J27:J29"/>
    <mergeCell ref="K27:K29"/>
    <mergeCell ref="L27:L29"/>
    <mergeCell ref="J19:J22"/>
    <mergeCell ref="K19:K22"/>
    <mergeCell ref="L19:L22"/>
    <mergeCell ref="U11:U14"/>
    <mergeCell ref="B11:B14"/>
    <mergeCell ref="V11:V14"/>
    <mergeCell ref="C11:C14"/>
    <mergeCell ref="W11:W14"/>
    <mergeCell ref="D11:D14"/>
    <mergeCell ref="E11:E14"/>
    <mergeCell ref="F11:F14"/>
    <mergeCell ref="G11:G14"/>
    <mergeCell ref="H11:H14"/>
    <mergeCell ref="I11:I14"/>
    <mergeCell ref="J11:J14"/>
    <mergeCell ref="K11:K14"/>
    <mergeCell ref="L11:L14"/>
    <mergeCell ref="M11:M14"/>
    <mergeCell ref="V15:V18"/>
    <mergeCell ref="C15:C18"/>
    <mergeCell ref="D15:D18"/>
    <mergeCell ref="E15:E18"/>
    <mergeCell ref="F15:F18"/>
    <mergeCell ref="G15:G18"/>
    <mergeCell ref="M19:M22"/>
    <mergeCell ref="A23:A26"/>
    <mergeCell ref="O23:O26"/>
    <mergeCell ref="U23:U26"/>
    <mergeCell ref="B23:B26"/>
    <mergeCell ref="V23:V26"/>
    <mergeCell ref="C23:C26"/>
    <mergeCell ref="W23:W26"/>
    <mergeCell ref="D23:D26"/>
    <mergeCell ref="E23:E26"/>
    <mergeCell ref="F23:F26"/>
    <mergeCell ref="G23:G26"/>
    <mergeCell ref="H23:H26"/>
    <mergeCell ref="I23:I26"/>
    <mergeCell ref="J23:J26"/>
    <mergeCell ref="K23:K26"/>
    <mergeCell ref="L23:L26"/>
    <mergeCell ref="M23:M26"/>
    <mergeCell ref="D19:D22"/>
    <mergeCell ref="E19:E22"/>
    <mergeCell ref="F19:F22"/>
    <mergeCell ref="G19:G22"/>
    <mergeCell ref="H19:H22"/>
    <mergeCell ref="I19:I22"/>
    <mergeCell ref="A36:A47"/>
    <mergeCell ref="O36:O47"/>
    <mergeCell ref="U36:U47"/>
    <mergeCell ref="B36:B47"/>
    <mergeCell ref="V36:V47"/>
    <mergeCell ref="C36:C47"/>
    <mergeCell ref="M30:M33"/>
    <mergeCell ref="D30:D33"/>
    <mergeCell ref="E30:E33"/>
    <mergeCell ref="F30:F33"/>
    <mergeCell ref="G30:G33"/>
    <mergeCell ref="H30:H33"/>
    <mergeCell ref="I30:I33"/>
    <mergeCell ref="J30:J33"/>
    <mergeCell ref="K30:K33"/>
    <mergeCell ref="L30:L33"/>
    <mergeCell ref="A30:A33"/>
    <mergeCell ref="O30:O33"/>
    <mergeCell ref="U30:U33"/>
    <mergeCell ref="B30:B33"/>
    <mergeCell ref="V30:V33"/>
    <mergeCell ref="C30:C33"/>
    <mergeCell ref="W36:W47"/>
    <mergeCell ref="D36:D47"/>
    <mergeCell ref="E36:E47"/>
    <mergeCell ref="F36:F47"/>
    <mergeCell ref="G36:G47"/>
    <mergeCell ref="H36:H47"/>
    <mergeCell ref="I36:I47"/>
    <mergeCell ref="J36:J47"/>
    <mergeCell ref="K36:K47"/>
    <mergeCell ref="L36:L47"/>
    <mergeCell ref="M36:M47"/>
    <mergeCell ref="A57:A58"/>
    <mergeCell ref="O57:O58"/>
    <mergeCell ref="U57:U58"/>
    <mergeCell ref="B57:B58"/>
    <mergeCell ref="V57:V58"/>
    <mergeCell ref="C57:C58"/>
    <mergeCell ref="W57:W58"/>
    <mergeCell ref="D57:D58"/>
    <mergeCell ref="E57:E58"/>
    <mergeCell ref="F57:F58"/>
    <mergeCell ref="G57:G58"/>
    <mergeCell ref="H57:H58"/>
    <mergeCell ref="I57:I58"/>
    <mergeCell ref="J57:J58"/>
    <mergeCell ref="K57:K58"/>
    <mergeCell ref="L57:L58"/>
    <mergeCell ref="M57:M58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0000"/>
  </sheetPr>
  <dimension ref="A1:X111"/>
  <sheetViews>
    <sheetView showGridLines="0" zoomScale="50" zoomScaleNormal="50" workbookViewId="0">
      <pane ySplit="8" topLeftCell="A106" activePane="bottomLeft" state="frozen"/>
      <selection pane="bottomLeft" activeCell="A107" sqref="A107"/>
    </sheetView>
  </sheetViews>
  <sheetFormatPr defaultColWidth="0" defaultRowHeight="18" x14ac:dyDescent="0.3"/>
  <cols>
    <col min="1" max="1" width="14" style="3" customWidth="1"/>
    <col min="2" max="2" width="40.33203125" style="3" customWidth="1"/>
    <col min="3" max="3" width="34" style="3" customWidth="1"/>
    <col min="4" max="4" width="25.44140625" style="3" customWidth="1"/>
    <col min="5" max="5" width="23.88671875" style="3" customWidth="1"/>
    <col min="6" max="6" width="32.44140625" style="3" customWidth="1"/>
    <col min="7" max="7" width="27.44140625" style="12" customWidth="1"/>
    <col min="8" max="8" width="38.44140625" style="3" bestFit="1" customWidth="1"/>
    <col min="9" max="9" width="33" style="3" customWidth="1"/>
    <col min="10" max="11" width="27.33203125" style="32" customWidth="1"/>
    <col min="12" max="12" width="21.44140625" style="3" customWidth="1"/>
    <col min="13" max="13" width="26.5546875" style="3" customWidth="1"/>
    <col min="14" max="14" width="28.109375" style="12" customWidth="1"/>
    <col min="15" max="15" width="39.33203125" style="3" customWidth="1"/>
    <col min="16" max="16" width="24.6640625" style="32" customWidth="1"/>
    <col min="17" max="17" width="24.44140625" style="12" customWidth="1"/>
    <col min="18" max="18" width="23.44140625" style="3" customWidth="1"/>
    <col min="19" max="19" width="25.6640625" style="3" customWidth="1"/>
    <col min="20" max="20" width="26" style="3" customWidth="1"/>
    <col min="21" max="21" width="23.6640625" style="12" customWidth="1"/>
    <col min="22" max="22" width="24" style="11" customWidth="1"/>
    <col min="23" max="23" width="21.88671875" style="8" customWidth="1"/>
    <col min="24" max="16384" width="9.109375" style="8" hidden="1"/>
  </cols>
  <sheetData>
    <row r="1" spans="1:24" ht="18.600000000000001" thickBot="1" x14ac:dyDescent="0.35"/>
    <row r="2" spans="1:24" ht="39.9" customHeight="1" thickBot="1" x14ac:dyDescent="0.35">
      <c r="E2" s="86"/>
      <c r="F2" s="436" t="s">
        <v>24</v>
      </c>
      <c r="G2" s="437"/>
      <c r="H2" s="98">
        <f>SUM(H9:H10001)</f>
        <v>2719268.57</v>
      </c>
      <c r="I2" s="86"/>
      <c r="J2" s="39"/>
      <c r="N2" s="375" t="s">
        <v>137</v>
      </c>
      <c r="O2" s="377"/>
      <c r="P2" s="87">
        <f>SUM(P9:P10001)</f>
        <v>1536744.85</v>
      </c>
      <c r="R2" s="86"/>
      <c r="S2" s="375" t="s">
        <v>45</v>
      </c>
      <c r="T2" s="376"/>
      <c r="U2" s="377"/>
      <c r="V2" s="88">
        <f>SUM(V9:V10001)</f>
        <v>97430.57</v>
      </c>
    </row>
    <row r="3" spans="1:24" x14ac:dyDescent="0.3">
      <c r="F3" s="38"/>
      <c r="G3" s="38"/>
      <c r="H3" s="38"/>
      <c r="I3" s="38"/>
      <c r="J3" s="39"/>
      <c r="K3" s="40"/>
      <c r="L3" s="41"/>
      <c r="M3" s="41"/>
      <c r="N3" s="38"/>
      <c r="O3" s="38"/>
      <c r="P3" s="39"/>
      <c r="Q3" s="42"/>
      <c r="R3" s="38"/>
      <c r="S3" s="38"/>
      <c r="T3" s="38"/>
      <c r="U3" s="38"/>
      <c r="V3" s="43"/>
    </row>
    <row r="4" spans="1:24" ht="39.9" customHeight="1" x14ac:dyDescent="0.3">
      <c r="F4" s="38"/>
      <c r="G4" s="38"/>
      <c r="H4" s="38"/>
      <c r="I4" s="38"/>
      <c r="J4" s="39"/>
      <c r="K4" s="40"/>
      <c r="L4" s="41"/>
      <c r="M4" s="41"/>
      <c r="N4" s="38"/>
      <c r="O4" s="38"/>
      <c r="P4" s="39"/>
      <c r="Q4" s="42"/>
      <c r="R4" s="38"/>
      <c r="S4" s="38"/>
      <c r="T4" s="38"/>
      <c r="U4" s="38"/>
      <c r="V4" s="43"/>
    </row>
    <row r="6" spans="1:24" ht="144" x14ac:dyDescent="0.3">
      <c r="A6" s="23" t="s">
        <v>8</v>
      </c>
      <c r="B6" s="23" t="s">
        <v>47</v>
      </c>
      <c r="C6" s="23" t="s">
        <v>145</v>
      </c>
      <c r="D6" s="23" t="s">
        <v>10</v>
      </c>
      <c r="E6" s="23" t="s">
        <v>1</v>
      </c>
      <c r="F6" s="23" t="s">
        <v>2</v>
      </c>
      <c r="G6" s="30" t="s">
        <v>3</v>
      </c>
      <c r="H6" s="23" t="s">
        <v>4</v>
      </c>
      <c r="I6" s="23" t="s">
        <v>22</v>
      </c>
      <c r="J6" s="33" t="s">
        <v>46</v>
      </c>
      <c r="K6" s="33" t="s">
        <v>5</v>
      </c>
      <c r="L6" s="23" t="s">
        <v>106</v>
      </c>
      <c r="M6" s="23" t="s">
        <v>39</v>
      </c>
      <c r="N6" s="30" t="s">
        <v>37</v>
      </c>
      <c r="O6" s="23" t="s">
        <v>6</v>
      </c>
      <c r="P6" s="33" t="s">
        <v>23</v>
      </c>
      <c r="Q6" s="30" t="s">
        <v>9</v>
      </c>
      <c r="R6" s="28" t="s">
        <v>40</v>
      </c>
      <c r="S6" s="28" t="s">
        <v>103</v>
      </c>
      <c r="T6" s="28" t="s">
        <v>104</v>
      </c>
      <c r="U6" s="27" t="s">
        <v>41</v>
      </c>
      <c r="V6" s="31" t="s">
        <v>43</v>
      </c>
      <c r="W6" s="1" t="s">
        <v>42</v>
      </c>
    </row>
    <row r="7" spans="1:24" x14ac:dyDescent="0.3">
      <c r="A7" s="78" t="s">
        <v>36</v>
      </c>
      <c r="B7" s="78" t="s">
        <v>110</v>
      </c>
      <c r="C7" s="78" t="s">
        <v>111</v>
      </c>
      <c r="D7" s="78" t="s">
        <v>112</v>
      </c>
      <c r="E7" s="78" t="s">
        <v>113</v>
      </c>
      <c r="F7" s="78" t="s">
        <v>114</v>
      </c>
      <c r="G7" s="78" t="s">
        <v>115</v>
      </c>
      <c r="H7" s="78" t="s">
        <v>116</v>
      </c>
      <c r="I7" s="78" t="s">
        <v>117</v>
      </c>
      <c r="J7" s="78" t="s">
        <v>118</v>
      </c>
      <c r="K7" s="78" t="s">
        <v>119</v>
      </c>
      <c r="L7" s="78" t="s">
        <v>120</v>
      </c>
      <c r="M7" s="78" t="s">
        <v>121</v>
      </c>
      <c r="N7" s="78" t="s">
        <v>122</v>
      </c>
      <c r="O7" s="78" t="s">
        <v>123</v>
      </c>
      <c r="P7" s="78" t="s">
        <v>124</v>
      </c>
      <c r="Q7" s="78" t="s">
        <v>125</v>
      </c>
      <c r="R7" s="78" t="s">
        <v>126</v>
      </c>
      <c r="S7" s="78" t="s">
        <v>127</v>
      </c>
      <c r="T7" s="78" t="s">
        <v>128</v>
      </c>
      <c r="U7" s="78" t="s">
        <v>129</v>
      </c>
      <c r="V7" s="78" t="s">
        <v>130</v>
      </c>
      <c r="W7" s="78" t="s">
        <v>131</v>
      </c>
    </row>
    <row r="8" spans="1:24" s="18" customFormat="1" ht="108" x14ac:dyDescent="0.3">
      <c r="A8" s="26" t="s">
        <v>36</v>
      </c>
      <c r="B8" s="26" t="s">
        <v>56</v>
      </c>
      <c r="C8" s="26"/>
      <c r="D8" s="26" t="s">
        <v>58</v>
      </c>
      <c r="E8" s="26" t="s">
        <v>57</v>
      </c>
      <c r="F8" s="77">
        <v>43839</v>
      </c>
      <c r="G8" s="25" t="s">
        <v>59</v>
      </c>
      <c r="H8" s="24">
        <v>20000</v>
      </c>
      <c r="I8" s="24">
        <v>0</v>
      </c>
      <c r="J8" s="76">
        <v>2353019514</v>
      </c>
      <c r="K8" s="34" t="s">
        <v>61</v>
      </c>
      <c r="L8" s="26"/>
      <c r="M8" s="26" t="s">
        <v>62</v>
      </c>
      <c r="N8" s="25">
        <v>43840</v>
      </c>
      <c r="O8" s="26" t="s">
        <v>63</v>
      </c>
      <c r="P8" s="34">
        <v>20000</v>
      </c>
      <c r="Q8" s="25">
        <v>43840</v>
      </c>
      <c r="R8" s="26"/>
      <c r="S8" s="72"/>
      <c r="T8" s="72"/>
      <c r="U8" s="25"/>
      <c r="V8" s="24"/>
      <c r="W8" s="13" t="s">
        <v>64</v>
      </c>
    </row>
    <row r="9" spans="1:24" s="108" customFormat="1" ht="131.25" customHeight="1" x14ac:dyDescent="0.3">
      <c r="A9" s="324">
        <v>1</v>
      </c>
      <c r="B9" s="333" t="s">
        <v>56</v>
      </c>
      <c r="C9" s="333" t="s">
        <v>179</v>
      </c>
      <c r="D9" s="333" t="s">
        <v>147</v>
      </c>
      <c r="E9" s="333" t="s">
        <v>36</v>
      </c>
      <c r="F9" s="327">
        <v>44921</v>
      </c>
      <c r="G9" s="342" t="s">
        <v>180</v>
      </c>
      <c r="H9" s="330">
        <v>494000</v>
      </c>
      <c r="I9" s="345">
        <f>IF(X9 = 18, H9 + SUM(S9:S11) - SUM(T9:T11) - SUM(P9:P11) - V9,0)</f>
        <v>219413.41999999998</v>
      </c>
      <c r="J9" s="417">
        <v>2310195709</v>
      </c>
      <c r="K9" s="419" t="s">
        <v>170</v>
      </c>
      <c r="L9" s="333" t="s">
        <v>146</v>
      </c>
      <c r="M9" s="333" t="s">
        <v>183</v>
      </c>
      <c r="N9" s="198">
        <v>44957</v>
      </c>
      <c r="O9" s="327" t="s">
        <v>181</v>
      </c>
      <c r="P9" s="189">
        <v>92510.53</v>
      </c>
      <c r="Q9" s="190">
        <v>44965</v>
      </c>
      <c r="R9" s="191"/>
      <c r="S9" s="189"/>
      <c r="T9" s="189"/>
      <c r="U9" s="330"/>
      <c r="V9" s="415"/>
      <c r="W9" s="339"/>
      <c r="X9" s="108">
        <v>18</v>
      </c>
    </row>
    <row r="10" spans="1:24" s="2" customFormat="1" x14ac:dyDescent="0.3">
      <c r="A10" s="325"/>
      <c r="B10" s="334"/>
      <c r="C10" s="334"/>
      <c r="D10" s="334"/>
      <c r="E10" s="334"/>
      <c r="F10" s="328"/>
      <c r="G10" s="343"/>
      <c r="H10" s="331"/>
      <c r="I10" s="346"/>
      <c r="J10" s="422"/>
      <c r="K10" s="423"/>
      <c r="L10" s="334"/>
      <c r="M10" s="334"/>
      <c r="N10" s="199">
        <v>44985</v>
      </c>
      <c r="O10" s="328"/>
      <c r="P10" s="192">
        <v>81376.05</v>
      </c>
      <c r="Q10" s="193">
        <v>44995</v>
      </c>
      <c r="R10" s="194"/>
      <c r="S10" s="192"/>
      <c r="T10" s="192"/>
      <c r="U10" s="331"/>
      <c r="V10" s="421"/>
      <c r="W10" s="340"/>
      <c r="X10" s="2">
        <v>18</v>
      </c>
    </row>
    <row r="11" spans="1:24" s="2" customFormat="1" x14ac:dyDescent="0.3">
      <c r="A11" s="326"/>
      <c r="B11" s="335"/>
      <c r="C11" s="335"/>
      <c r="D11" s="335"/>
      <c r="E11" s="335"/>
      <c r="F11" s="329"/>
      <c r="G11" s="344"/>
      <c r="H11" s="332"/>
      <c r="I11" s="347"/>
      <c r="J11" s="418"/>
      <c r="K11" s="420"/>
      <c r="L11" s="335"/>
      <c r="M11" s="335"/>
      <c r="N11" s="200">
        <v>45016</v>
      </c>
      <c r="O11" s="329"/>
      <c r="P11" s="195">
        <v>100700</v>
      </c>
      <c r="Q11" s="196">
        <v>45028</v>
      </c>
      <c r="R11" s="197"/>
      <c r="S11" s="195"/>
      <c r="T11" s="195"/>
      <c r="U11" s="332"/>
      <c r="V11" s="416"/>
      <c r="W11" s="341"/>
      <c r="X11" s="2">
        <v>18</v>
      </c>
    </row>
    <row r="12" spans="1:24" s="108" customFormat="1" ht="37.5" customHeight="1" x14ac:dyDescent="0.3">
      <c r="A12" s="294">
        <v>2</v>
      </c>
      <c r="B12" s="300" t="s">
        <v>56</v>
      </c>
      <c r="C12" s="300" t="s">
        <v>146</v>
      </c>
      <c r="D12" s="300" t="s">
        <v>147</v>
      </c>
      <c r="E12" s="300" t="s">
        <v>119</v>
      </c>
      <c r="F12" s="296">
        <v>44925</v>
      </c>
      <c r="G12" s="312" t="s">
        <v>182</v>
      </c>
      <c r="H12" s="298">
        <v>30439.68</v>
      </c>
      <c r="I12" s="308">
        <f>IF(X12 = 19, H12 + SUM(S12:S16) - SUM(T12:T16) - SUM(P12:P16) - V12,0)</f>
        <v>15632.630000000001</v>
      </c>
      <c r="J12" s="409">
        <v>2353246210</v>
      </c>
      <c r="K12" s="412" t="s">
        <v>151</v>
      </c>
      <c r="L12" s="300" t="s">
        <v>146</v>
      </c>
      <c r="M12" s="300"/>
      <c r="N12" s="228">
        <v>44943</v>
      </c>
      <c r="O12" s="296" t="s">
        <v>184</v>
      </c>
      <c r="P12" s="219">
        <v>4402.93</v>
      </c>
      <c r="Q12" s="220">
        <v>44963</v>
      </c>
      <c r="R12" s="221"/>
      <c r="S12" s="219"/>
      <c r="T12" s="219"/>
      <c r="U12" s="298"/>
      <c r="V12" s="406"/>
      <c r="W12" s="304"/>
      <c r="X12" s="108">
        <v>19</v>
      </c>
    </row>
    <row r="13" spans="1:24" s="2" customFormat="1" x14ac:dyDescent="0.3">
      <c r="A13" s="318"/>
      <c r="B13" s="311"/>
      <c r="C13" s="311"/>
      <c r="D13" s="311"/>
      <c r="E13" s="311"/>
      <c r="F13" s="315"/>
      <c r="G13" s="313"/>
      <c r="H13" s="316"/>
      <c r="I13" s="317"/>
      <c r="J13" s="410"/>
      <c r="K13" s="413"/>
      <c r="L13" s="311"/>
      <c r="M13" s="311"/>
      <c r="N13" s="229">
        <v>44972</v>
      </c>
      <c r="O13" s="315"/>
      <c r="P13" s="222">
        <v>2967.24</v>
      </c>
      <c r="Q13" s="223">
        <v>45005</v>
      </c>
      <c r="R13" s="224"/>
      <c r="S13" s="222"/>
      <c r="T13" s="222"/>
      <c r="U13" s="316"/>
      <c r="V13" s="407"/>
      <c r="W13" s="310"/>
      <c r="X13" s="2">
        <v>19</v>
      </c>
    </row>
    <row r="14" spans="1:24" s="2" customFormat="1" x14ac:dyDescent="0.3">
      <c r="A14" s="318"/>
      <c r="B14" s="311"/>
      <c r="C14" s="311"/>
      <c r="D14" s="311"/>
      <c r="E14" s="311"/>
      <c r="F14" s="315"/>
      <c r="G14" s="313"/>
      <c r="H14" s="316"/>
      <c r="I14" s="317"/>
      <c r="J14" s="410"/>
      <c r="K14" s="413"/>
      <c r="L14" s="311"/>
      <c r="M14" s="311"/>
      <c r="N14" s="229">
        <v>44999</v>
      </c>
      <c r="O14" s="315"/>
      <c r="P14" s="222">
        <v>2028.24</v>
      </c>
      <c r="Q14" s="223">
        <v>45005</v>
      </c>
      <c r="R14" s="224"/>
      <c r="S14" s="222"/>
      <c r="T14" s="222"/>
      <c r="U14" s="316"/>
      <c r="V14" s="407"/>
      <c r="W14" s="310"/>
      <c r="X14" s="2">
        <v>19</v>
      </c>
    </row>
    <row r="15" spans="1:24" s="2" customFormat="1" x14ac:dyDescent="0.3">
      <c r="A15" s="318"/>
      <c r="B15" s="311"/>
      <c r="C15" s="311"/>
      <c r="D15" s="311"/>
      <c r="E15" s="311"/>
      <c r="F15" s="315"/>
      <c r="G15" s="313"/>
      <c r="H15" s="316"/>
      <c r="I15" s="317"/>
      <c r="J15" s="410"/>
      <c r="K15" s="413"/>
      <c r="L15" s="311"/>
      <c r="M15" s="311"/>
      <c r="N15" s="229">
        <v>45035</v>
      </c>
      <c r="O15" s="315"/>
      <c r="P15" s="222">
        <v>2554.08</v>
      </c>
      <c r="Q15" s="223">
        <v>45051</v>
      </c>
      <c r="R15" s="224"/>
      <c r="S15" s="222"/>
      <c r="T15" s="222"/>
      <c r="U15" s="316"/>
      <c r="V15" s="407"/>
      <c r="W15" s="310"/>
      <c r="X15" s="2">
        <v>19</v>
      </c>
    </row>
    <row r="16" spans="1:24" s="2" customFormat="1" x14ac:dyDescent="0.3">
      <c r="A16" s="295"/>
      <c r="B16" s="301"/>
      <c r="C16" s="301"/>
      <c r="D16" s="301"/>
      <c r="E16" s="301"/>
      <c r="F16" s="297"/>
      <c r="G16" s="314"/>
      <c r="H16" s="299"/>
      <c r="I16" s="309"/>
      <c r="J16" s="411"/>
      <c r="K16" s="414"/>
      <c r="L16" s="301"/>
      <c r="M16" s="301"/>
      <c r="N16" s="230">
        <v>45062</v>
      </c>
      <c r="O16" s="297"/>
      <c r="P16" s="225">
        <v>2854.56</v>
      </c>
      <c r="Q16" s="226">
        <v>45070</v>
      </c>
      <c r="R16" s="227"/>
      <c r="S16" s="225"/>
      <c r="T16" s="225"/>
      <c r="U16" s="299"/>
      <c r="V16" s="408"/>
      <c r="W16" s="305"/>
      <c r="X16" s="2">
        <v>19</v>
      </c>
    </row>
    <row r="17" spans="1:24" s="108" customFormat="1" ht="37.5" customHeight="1" x14ac:dyDescent="0.3">
      <c r="A17" s="294">
        <v>3</v>
      </c>
      <c r="B17" s="300" t="s">
        <v>56</v>
      </c>
      <c r="C17" s="300" t="s">
        <v>146</v>
      </c>
      <c r="D17" s="300" t="s">
        <v>188</v>
      </c>
      <c r="E17" s="300" t="s">
        <v>190</v>
      </c>
      <c r="F17" s="296">
        <v>44925</v>
      </c>
      <c r="G17" s="312" t="s">
        <v>185</v>
      </c>
      <c r="H17" s="298">
        <v>364067.54</v>
      </c>
      <c r="I17" s="308">
        <f>IF(X17 = 20, H17 + SUM(S17:S27) - SUM(T17:T27) - SUM(P17:P27) - V17,0)</f>
        <v>174698.03</v>
      </c>
      <c r="J17" s="409">
        <v>2308119595</v>
      </c>
      <c r="K17" s="412" t="s">
        <v>150</v>
      </c>
      <c r="L17" s="300" t="s">
        <v>146</v>
      </c>
      <c r="M17" s="300"/>
      <c r="N17" s="228">
        <v>44957</v>
      </c>
      <c r="O17" s="296" t="s">
        <v>186</v>
      </c>
      <c r="P17" s="219">
        <v>9810.7000000000007</v>
      </c>
      <c r="Q17" s="220">
        <v>44974</v>
      </c>
      <c r="R17" s="221"/>
      <c r="S17" s="219"/>
      <c r="T17" s="219"/>
      <c r="U17" s="298"/>
      <c r="V17" s="406"/>
      <c r="W17" s="304"/>
      <c r="X17" s="108">
        <v>20</v>
      </c>
    </row>
    <row r="18" spans="1:24" s="2" customFormat="1" x14ac:dyDescent="0.3">
      <c r="A18" s="318"/>
      <c r="B18" s="311"/>
      <c r="C18" s="311"/>
      <c r="D18" s="311"/>
      <c r="E18" s="311"/>
      <c r="F18" s="315"/>
      <c r="G18" s="313"/>
      <c r="H18" s="316"/>
      <c r="I18" s="317"/>
      <c r="J18" s="410"/>
      <c r="K18" s="413"/>
      <c r="L18" s="311"/>
      <c r="M18" s="311"/>
      <c r="N18" s="229">
        <v>44958</v>
      </c>
      <c r="O18" s="315"/>
      <c r="P18" s="222">
        <v>21883.97</v>
      </c>
      <c r="Q18" s="223">
        <v>44974</v>
      </c>
      <c r="R18" s="224"/>
      <c r="S18" s="222"/>
      <c r="T18" s="222"/>
      <c r="U18" s="316"/>
      <c r="V18" s="407"/>
      <c r="W18" s="310"/>
      <c r="X18" s="2">
        <v>20</v>
      </c>
    </row>
    <row r="19" spans="1:24" s="2" customFormat="1" x14ac:dyDescent="0.3">
      <c r="A19" s="318"/>
      <c r="B19" s="311"/>
      <c r="C19" s="311"/>
      <c r="D19" s="311"/>
      <c r="E19" s="311"/>
      <c r="F19" s="315"/>
      <c r="G19" s="313"/>
      <c r="H19" s="316"/>
      <c r="I19" s="317"/>
      <c r="J19" s="410"/>
      <c r="K19" s="413"/>
      <c r="L19" s="311"/>
      <c r="M19" s="311"/>
      <c r="N19" s="229">
        <v>44986</v>
      </c>
      <c r="O19" s="315"/>
      <c r="P19" s="222">
        <v>16412.98</v>
      </c>
      <c r="Q19" s="223">
        <v>44988</v>
      </c>
      <c r="R19" s="224"/>
      <c r="S19" s="222"/>
      <c r="T19" s="222"/>
      <c r="U19" s="316"/>
      <c r="V19" s="407"/>
      <c r="W19" s="310"/>
      <c r="X19" s="2">
        <v>20</v>
      </c>
    </row>
    <row r="20" spans="1:24" s="2" customFormat="1" x14ac:dyDescent="0.3">
      <c r="A20" s="318"/>
      <c r="B20" s="311"/>
      <c r="C20" s="311"/>
      <c r="D20" s="311"/>
      <c r="E20" s="311"/>
      <c r="F20" s="315"/>
      <c r="G20" s="313"/>
      <c r="H20" s="316"/>
      <c r="I20" s="317"/>
      <c r="J20" s="410"/>
      <c r="K20" s="413"/>
      <c r="L20" s="311"/>
      <c r="M20" s="311"/>
      <c r="N20" s="229">
        <v>45001</v>
      </c>
      <c r="O20" s="315"/>
      <c r="P20" s="222">
        <v>16486.419999999998</v>
      </c>
      <c r="Q20" s="223">
        <v>45001</v>
      </c>
      <c r="R20" s="224"/>
      <c r="S20" s="222"/>
      <c r="T20" s="222"/>
      <c r="U20" s="316"/>
      <c r="V20" s="407"/>
      <c r="W20" s="310"/>
      <c r="X20" s="2">
        <v>20</v>
      </c>
    </row>
    <row r="21" spans="1:24" s="2" customFormat="1" x14ac:dyDescent="0.3">
      <c r="A21" s="318"/>
      <c r="B21" s="311"/>
      <c r="C21" s="311"/>
      <c r="D21" s="311"/>
      <c r="E21" s="311"/>
      <c r="F21" s="315"/>
      <c r="G21" s="313"/>
      <c r="H21" s="316"/>
      <c r="I21" s="317"/>
      <c r="J21" s="410"/>
      <c r="K21" s="413"/>
      <c r="L21" s="311"/>
      <c r="M21" s="311"/>
      <c r="N21" s="229">
        <v>45001</v>
      </c>
      <c r="O21" s="315"/>
      <c r="P21" s="222">
        <v>21890.9</v>
      </c>
      <c r="Q21" s="223">
        <v>45001</v>
      </c>
      <c r="R21" s="224"/>
      <c r="S21" s="222"/>
      <c r="T21" s="222"/>
      <c r="U21" s="316"/>
      <c r="V21" s="407"/>
      <c r="W21" s="310"/>
      <c r="X21" s="2">
        <v>20</v>
      </c>
    </row>
    <row r="22" spans="1:24" s="2" customFormat="1" x14ac:dyDescent="0.3">
      <c r="A22" s="318"/>
      <c r="B22" s="311"/>
      <c r="C22" s="311"/>
      <c r="D22" s="311"/>
      <c r="E22" s="311"/>
      <c r="F22" s="315"/>
      <c r="G22" s="313"/>
      <c r="H22" s="316"/>
      <c r="I22" s="317"/>
      <c r="J22" s="410"/>
      <c r="K22" s="413"/>
      <c r="L22" s="311"/>
      <c r="M22" s="311"/>
      <c r="N22" s="229">
        <v>45017</v>
      </c>
      <c r="O22" s="315"/>
      <c r="P22" s="222">
        <v>16418.169999999998</v>
      </c>
      <c r="Q22" s="223">
        <v>45022</v>
      </c>
      <c r="R22" s="224"/>
      <c r="S22" s="222"/>
      <c r="T22" s="222"/>
      <c r="U22" s="316"/>
      <c r="V22" s="407"/>
      <c r="W22" s="310"/>
      <c r="X22" s="2">
        <v>20</v>
      </c>
    </row>
    <row r="23" spans="1:24" s="2" customFormat="1" x14ac:dyDescent="0.3">
      <c r="A23" s="318"/>
      <c r="B23" s="311"/>
      <c r="C23" s="311"/>
      <c r="D23" s="311"/>
      <c r="E23" s="311"/>
      <c r="F23" s="315"/>
      <c r="G23" s="313"/>
      <c r="H23" s="316"/>
      <c r="I23" s="317"/>
      <c r="J23" s="410"/>
      <c r="K23" s="413"/>
      <c r="L23" s="311"/>
      <c r="M23" s="311"/>
      <c r="N23" s="229">
        <v>45016</v>
      </c>
      <c r="O23" s="315"/>
      <c r="P23" s="222">
        <v>13697.32</v>
      </c>
      <c r="Q23" s="223">
        <v>45030</v>
      </c>
      <c r="R23" s="224"/>
      <c r="S23" s="222"/>
      <c r="T23" s="222"/>
      <c r="U23" s="316"/>
      <c r="V23" s="407"/>
      <c r="W23" s="310"/>
      <c r="X23" s="2">
        <v>20</v>
      </c>
    </row>
    <row r="24" spans="1:24" s="2" customFormat="1" x14ac:dyDescent="0.3">
      <c r="A24" s="318"/>
      <c r="B24" s="311"/>
      <c r="C24" s="311"/>
      <c r="D24" s="311"/>
      <c r="E24" s="311"/>
      <c r="F24" s="315"/>
      <c r="G24" s="313"/>
      <c r="H24" s="316"/>
      <c r="I24" s="317"/>
      <c r="J24" s="410"/>
      <c r="K24" s="413"/>
      <c r="L24" s="311"/>
      <c r="M24" s="311"/>
      <c r="N24" s="229">
        <v>45017</v>
      </c>
      <c r="O24" s="315"/>
      <c r="P24" s="222">
        <v>20800.48</v>
      </c>
      <c r="Q24" s="223">
        <v>45033</v>
      </c>
      <c r="R24" s="224"/>
      <c r="S24" s="222"/>
      <c r="T24" s="222"/>
      <c r="U24" s="316"/>
      <c r="V24" s="407"/>
      <c r="W24" s="310"/>
      <c r="X24" s="2">
        <v>20</v>
      </c>
    </row>
    <row r="25" spans="1:24" s="2" customFormat="1" x14ac:dyDescent="0.3">
      <c r="A25" s="318"/>
      <c r="B25" s="311"/>
      <c r="C25" s="311"/>
      <c r="D25" s="311"/>
      <c r="E25" s="311"/>
      <c r="F25" s="315"/>
      <c r="G25" s="313"/>
      <c r="H25" s="316"/>
      <c r="I25" s="317"/>
      <c r="J25" s="410"/>
      <c r="K25" s="413"/>
      <c r="L25" s="311"/>
      <c r="M25" s="311"/>
      <c r="N25" s="229">
        <v>45047</v>
      </c>
      <c r="O25" s="315"/>
      <c r="P25" s="222">
        <v>15600.36</v>
      </c>
      <c r="Q25" s="223">
        <v>45049</v>
      </c>
      <c r="R25" s="224"/>
      <c r="S25" s="222"/>
      <c r="T25" s="222"/>
      <c r="U25" s="316"/>
      <c r="V25" s="407"/>
      <c r="W25" s="310"/>
      <c r="X25" s="2">
        <v>20</v>
      </c>
    </row>
    <row r="26" spans="1:24" s="2" customFormat="1" x14ac:dyDescent="0.3">
      <c r="A26" s="318"/>
      <c r="B26" s="311"/>
      <c r="C26" s="311"/>
      <c r="D26" s="311"/>
      <c r="E26" s="311"/>
      <c r="F26" s="315"/>
      <c r="G26" s="313"/>
      <c r="H26" s="316"/>
      <c r="I26" s="317"/>
      <c r="J26" s="410"/>
      <c r="K26" s="413"/>
      <c r="L26" s="311"/>
      <c r="M26" s="311"/>
      <c r="N26" s="229">
        <v>45046</v>
      </c>
      <c r="O26" s="315"/>
      <c r="P26" s="222">
        <v>13871.16</v>
      </c>
      <c r="Q26" s="223">
        <v>45064</v>
      </c>
      <c r="R26" s="224"/>
      <c r="S26" s="222"/>
      <c r="T26" s="222"/>
      <c r="U26" s="316"/>
      <c r="V26" s="407"/>
      <c r="W26" s="310"/>
      <c r="X26" s="2">
        <v>20</v>
      </c>
    </row>
    <row r="27" spans="1:24" s="2" customFormat="1" x14ac:dyDescent="0.3">
      <c r="A27" s="295"/>
      <c r="B27" s="301"/>
      <c r="C27" s="301"/>
      <c r="D27" s="301"/>
      <c r="E27" s="301"/>
      <c r="F27" s="297"/>
      <c r="G27" s="314"/>
      <c r="H27" s="299"/>
      <c r="I27" s="309"/>
      <c r="J27" s="411"/>
      <c r="K27" s="414"/>
      <c r="L27" s="301"/>
      <c r="M27" s="301"/>
      <c r="N27" s="230">
        <v>45047</v>
      </c>
      <c r="O27" s="297"/>
      <c r="P27" s="225">
        <v>22497.05</v>
      </c>
      <c r="Q27" s="226">
        <v>45064</v>
      </c>
      <c r="R27" s="227"/>
      <c r="S27" s="225"/>
      <c r="T27" s="225"/>
      <c r="U27" s="299"/>
      <c r="V27" s="408"/>
      <c r="W27" s="305"/>
      <c r="X27" s="2">
        <v>20</v>
      </c>
    </row>
    <row r="28" spans="1:24" s="108" customFormat="1" ht="93.75" customHeight="1" x14ac:dyDescent="0.3">
      <c r="A28" s="294">
        <v>4</v>
      </c>
      <c r="B28" s="300" t="s">
        <v>56</v>
      </c>
      <c r="C28" s="300" t="s">
        <v>146</v>
      </c>
      <c r="D28" s="300" t="s">
        <v>147</v>
      </c>
      <c r="E28" s="300" t="s">
        <v>191</v>
      </c>
      <c r="F28" s="296">
        <v>44925</v>
      </c>
      <c r="G28" s="312" t="s">
        <v>149</v>
      </c>
      <c r="H28" s="298">
        <v>45256.38</v>
      </c>
      <c r="I28" s="308">
        <f>IF(X28 = 21, H28 + SUM(S28:S31) - SUM(T28:T31) - SUM(P28:P31) - V28,0)</f>
        <v>30170.899999999998</v>
      </c>
      <c r="J28" s="409">
        <v>2308131994</v>
      </c>
      <c r="K28" s="412" t="s">
        <v>178</v>
      </c>
      <c r="L28" s="300" t="s">
        <v>146</v>
      </c>
      <c r="M28" s="300"/>
      <c r="N28" s="228">
        <v>44957</v>
      </c>
      <c r="O28" s="296" t="s">
        <v>187</v>
      </c>
      <c r="P28" s="219">
        <v>3771.37</v>
      </c>
      <c r="Q28" s="220">
        <v>44963</v>
      </c>
      <c r="R28" s="221"/>
      <c r="S28" s="219"/>
      <c r="T28" s="219"/>
      <c r="U28" s="298"/>
      <c r="V28" s="406"/>
      <c r="W28" s="304"/>
      <c r="X28" s="108">
        <v>21</v>
      </c>
    </row>
    <row r="29" spans="1:24" s="2" customFormat="1" x14ac:dyDescent="0.3">
      <c r="A29" s="318"/>
      <c r="B29" s="311"/>
      <c r="C29" s="311"/>
      <c r="D29" s="311"/>
      <c r="E29" s="311"/>
      <c r="F29" s="315"/>
      <c r="G29" s="313"/>
      <c r="H29" s="316"/>
      <c r="I29" s="317"/>
      <c r="J29" s="410"/>
      <c r="K29" s="413"/>
      <c r="L29" s="311"/>
      <c r="M29" s="311"/>
      <c r="N29" s="229">
        <v>44985</v>
      </c>
      <c r="O29" s="315"/>
      <c r="P29" s="222">
        <v>3771.37</v>
      </c>
      <c r="Q29" s="223">
        <v>44995</v>
      </c>
      <c r="R29" s="224"/>
      <c r="S29" s="222"/>
      <c r="T29" s="222"/>
      <c r="U29" s="316"/>
      <c r="V29" s="407"/>
      <c r="W29" s="310"/>
      <c r="X29" s="2">
        <v>21</v>
      </c>
    </row>
    <row r="30" spans="1:24" s="2" customFormat="1" x14ac:dyDescent="0.3">
      <c r="A30" s="318"/>
      <c r="B30" s="311"/>
      <c r="C30" s="311"/>
      <c r="D30" s="311"/>
      <c r="E30" s="311"/>
      <c r="F30" s="315"/>
      <c r="G30" s="313"/>
      <c r="H30" s="316"/>
      <c r="I30" s="317"/>
      <c r="J30" s="410"/>
      <c r="K30" s="413"/>
      <c r="L30" s="311"/>
      <c r="M30" s="311"/>
      <c r="N30" s="229">
        <v>45016</v>
      </c>
      <c r="O30" s="315"/>
      <c r="P30" s="222">
        <v>3771.37</v>
      </c>
      <c r="Q30" s="223">
        <v>45022</v>
      </c>
      <c r="R30" s="224"/>
      <c r="S30" s="222"/>
      <c r="T30" s="222"/>
      <c r="U30" s="316"/>
      <c r="V30" s="407"/>
      <c r="W30" s="310"/>
      <c r="X30" s="2">
        <v>21</v>
      </c>
    </row>
    <row r="31" spans="1:24" s="2" customFormat="1" x14ac:dyDescent="0.3">
      <c r="A31" s="295"/>
      <c r="B31" s="301"/>
      <c r="C31" s="301"/>
      <c r="D31" s="301"/>
      <c r="E31" s="301"/>
      <c r="F31" s="297"/>
      <c r="G31" s="314"/>
      <c r="H31" s="299"/>
      <c r="I31" s="309"/>
      <c r="J31" s="411"/>
      <c r="K31" s="414"/>
      <c r="L31" s="301"/>
      <c r="M31" s="301"/>
      <c r="N31" s="230">
        <v>45046</v>
      </c>
      <c r="O31" s="297"/>
      <c r="P31" s="225">
        <v>3771.37</v>
      </c>
      <c r="Q31" s="226">
        <v>45051</v>
      </c>
      <c r="R31" s="227"/>
      <c r="S31" s="225"/>
      <c r="T31" s="225"/>
      <c r="U31" s="299"/>
      <c r="V31" s="408"/>
      <c r="W31" s="305"/>
      <c r="X31" s="2">
        <v>21</v>
      </c>
    </row>
    <row r="32" spans="1:24" s="108" customFormat="1" ht="187.5" customHeight="1" x14ac:dyDescent="0.3">
      <c r="A32" s="424">
        <v>5</v>
      </c>
      <c r="B32" s="433" t="s">
        <v>56</v>
      </c>
      <c r="C32" s="433" t="s">
        <v>146</v>
      </c>
      <c r="D32" s="433" t="s">
        <v>147</v>
      </c>
      <c r="E32" s="433" t="s">
        <v>36</v>
      </c>
      <c r="F32" s="427">
        <v>44951</v>
      </c>
      <c r="G32" s="444" t="s">
        <v>189</v>
      </c>
      <c r="H32" s="430">
        <v>362529.7</v>
      </c>
      <c r="I32" s="447">
        <f>IF(X32 = 22, H32 + SUM(S32:S41) - SUM(T32:T41) - SUM(P32:P41) - V32,0)</f>
        <v>0</v>
      </c>
      <c r="J32" s="450">
        <v>2353020735</v>
      </c>
      <c r="K32" s="453" t="s">
        <v>157</v>
      </c>
      <c r="L32" s="433" t="s">
        <v>146</v>
      </c>
      <c r="M32" s="433"/>
      <c r="N32" s="136">
        <v>44946</v>
      </c>
      <c r="O32" s="427" t="s">
        <v>181</v>
      </c>
      <c r="P32" s="137">
        <v>5322.73</v>
      </c>
      <c r="Q32" s="138">
        <v>44965</v>
      </c>
      <c r="R32" s="139"/>
      <c r="S32" s="137"/>
      <c r="T32" s="137"/>
      <c r="U32" s="430"/>
      <c r="V32" s="438">
        <v>72430.570000000007</v>
      </c>
      <c r="W32" s="441"/>
      <c r="X32" s="108">
        <v>22</v>
      </c>
    </row>
    <row r="33" spans="1:24" s="2" customFormat="1" x14ac:dyDescent="0.3">
      <c r="A33" s="425"/>
      <c r="B33" s="434"/>
      <c r="C33" s="434"/>
      <c r="D33" s="434"/>
      <c r="E33" s="434"/>
      <c r="F33" s="428"/>
      <c r="G33" s="445"/>
      <c r="H33" s="431"/>
      <c r="I33" s="448"/>
      <c r="J33" s="451"/>
      <c r="K33" s="454"/>
      <c r="L33" s="434"/>
      <c r="M33" s="434"/>
      <c r="N33" s="144">
        <v>44946</v>
      </c>
      <c r="O33" s="428"/>
      <c r="P33" s="145">
        <v>83387.759999999995</v>
      </c>
      <c r="Q33" s="146">
        <v>44967</v>
      </c>
      <c r="R33" s="147"/>
      <c r="S33" s="145"/>
      <c r="T33" s="145"/>
      <c r="U33" s="431"/>
      <c r="V33" s="439"/>
      <c r="W33" s="442"/>
      <c r="X33" s="2">
        <v>22</v>
      </c>
    </row>
    <row r="34" spans="1:24" s="2" customFormat="1" x14ac:dyDescent="0.3">
      <c r="A34" s="425"/>
      <c r="B34" s="434"/>
      <c r="C34" s="434"/>
      <c r="D34" s="434"/>
      <c r="E34" s="434"/>
      <c r="F34" s="428"/>
      <c r="G34" s="445"/>
      <c r="H34" s="431"/>
      <c r="I34" s="448"/>
      <c r="J34" s="451"/>
      <c r="K34" s="454"/>
      <c r="L34" s="434"/>
      <c r="M34" s="434"/>
      <c r="N34" s="144">
        <v>44957</v>
      </c>
      <c r="O34" s="428"/>
      <c r="P34" s="145">
        <v>58732.75</v>
      </c>
      <c r="Q34" s="146">
        <v>44970</v>
      </c>
      <c r="R34" s="147"/>
      <c r="S34" s="145"/>
      <c r="T34" s="145"/>
      <c r="U34" s="431"/>
      <c r="V34" s="439"/>
      <c r="W34" s="442"/>
      <c r="X34" s="2">
        <v>22</v>
      </c>
    </row>
    <row r="35" spans="1:24" s="2" customFormat="1" x14ac:dyDescent="0.3">
      <c r="A35" s="425"/>
      <c r="B35" s="434"/>
      <c r="C35" s="434"/>
      <c r="D35" s="434"/>
      <c r="E35" s="434"/>
      <c r="F35" s="428"/>
      <c r="G35" s="445"/>
      <c r="H35" s="431"/>
      <c r="I35" s="448"/>
      <c r="J35" s="451"/>
      <c r="K35" s="454"/>
      <c r="L35" s="434"/>
      <c r="M35" s="434"/>
      <c r="N35" s="144">
        <v>44957</v>
      </c>
      <c r="O35" s="428"/>
      <c r="P35" s="145">
        <v>3748.98</v>
      </c>
      <c r="Q35" s="146">
        <v>44970</v>
      </c>
      <c r="R35" s="147"/>
      <c r="S35" s="145"/>
      <c r="T35" s="145"/>
      <c r="U35" s="431"/>
      <c r="V35" s="439"/>
      <c r="W35" s="442"/>
      <c r="X35" s="2">
        <v>22</v>
      </c>
    </row>
    <row r="36" spans="1:24" s="2" customFormat="1" x14ac:dyDescent="0.3">
      <c r="A36" s="425"/>
      <c r="B36" s="434"/>
      <c r="C36" s="434"/>
      <c r="D36" s="434"/>
      <c r="E36" s="434"/>
      <c r="F36" s="428"/>
      <c r="G36" s="445"/>
      <c r="H36" s="431"/>
      <c r="I36" s="448"/>
      <c r="J36" s="451"/>
      <c r="K36" s="454"/>
      <c r="L36" s="434"/>
      <c r="M36" s="434"/>
      <c r="N36" s="144">
        <v>44960</v>
      </c>
      <c r="O36" s="428"/>
      <c r="P36" s="145">
        <v>24513.31</v>
      </c>
      <c r="Q36" s="146">
        <v>44970</v>
      </c>
      <c r="R36" s="147"/>
      <c r="S36" s="145"/>
      <c r="T36" s="145"/>
      <c r="U36" s="431"/>
      <c r="V36" s="439"/>
      <c r="W36" s="442"/>
      <c r="X36" s="2">
        <v>22</v>
      </c>
    </row>
    <row r="37" spans="1:24" s="2" customFormat="1" x14ac:dyDescent="0.3">
      <c r="A37" s="425"/>
      <c r="B37" s="434"/>
      <c r="C37" s="434"/>
      <c r="D37" s="434"/>
      <c r="E37" s="434"/>
      <c r="F37" s="428"/>
      <c r="G37" s="445"/>
      <c r="H37" s="431"/>
      <c r="I37" s="448"/>
      <c r="J37" s="451"/>
      <c r="K37" s="454"/>
      <c r="L37" s="434"/>
      <c r="M37" s="434"/>
      <c r="N37" s="144">
        <v>44960</v>
      </c>
      <c r="O37" s="428"/>
      <c r="P37" s="145">
        <v>1564.71</v>
      </c>
      <c r="Q37" s="146">
        <v>44970</v>
      </c>
      <c r="R37" s="147"/>
      <c r="S37" s="145"/>
      <c r="T37" s="145"/>
      <c r="U37" s="431"/>
      <c r="V37" s="439"/>
      <c r="W37" s="442"/>
      <c r="X37" s="2">
        <v>22</v>
      </c>
    </row>
    <row r="38" spans="1:24" s="2" customFormat="1" x14ac:dyDescent="0.3">
      <c r="A38" s="425"/>
      <c r="B38" s="434"/>
      <c r="C38" s="434"/>
      <c r="D38" s="434"/>
      <c r="E38" s="434"/>
      <c r="F38" s="428"/>
      <c r="G38" s="445"/>
      <c r="H38" s="431"/>
      <c r="I38" s="448"/>
      <c r="J38" s="451"/>
      <c r="K38" s="454"/>
      <c r="L38" s="434"/>
      <c r="M38" s="434"/>
      <c r="N38" s="144">
        <v>44974</v>
      </c>
      <c r="O38" s="428"/>
      <c r="P38" s="145">
        <v>65463.29</v>
      </c>
      <c r="Q38" s="146">
        <v>44986</v>
      </c>
      <c r="R38" s="147"/>
      <c r="S38" s="145"/>
      <c r="T38" s="145"/>
      <c r="U38" s="431"/>
      <c r="V38" s="439"/>
      <c r="W38" s="442"/>
      <c r="X38" s="2">
        <v>22</v>
      </c>
    </row>
    <row r="39" spans="1:24" s="2" customFormat="1" x14ac:dyDescent="0.3">
      <c r="A39" s="425"/>
      <c r="B39" s="434"/>
      <c r="C39" s="434"/>
      <c r="D39" s="434"/>
      <c r="E39" s="434"/>
      <c r="F39" s="428"/>
      <c r="G39" s="445"/>
      <c r="H39" s="431"/>
      <c r="I39" s="448"/>
      <c r="J39" s="451"/>
      <c r="K39" s="454"/>
      <c r="L39" s="434"/>
      <c r="M39" s="434"/>
      <c r="N39" s="144">
        <v>44974</v>
      </c>
      <c r="O39" s="428"/>
      <c r="P39" s="145">
        <v>4178.59</v>
      </c>
      <c r="Q39" s="146">
        <v>44986</v>
      </c>
      <c r="R39" s="147"/>
      <c r="S39" s="145"/>
      <c r="T39" s="145"/>
      <c r="U39" s="431"/>
      <c r="V39" s="439"/>
      <c r="W39" s="442"/>
      <c r="X39" s="2">
        <v>22</v>
      </c>
    </row>
    <row r="40" spans="1:24" s="2" customFormat="1" x14ac:dyDescent="0.3">
      <c r="A40" s="425"/>
      <c r="B40" s="434"/>
      <c r="C40" s="434"/>
      <c r="D40" s="434"/>
      <c r="E40" s="434"/>
      <c r="F40" s="428"/>
      <c r="G40" s="445"/>
      <c r="H40" s="431"/>
      <c r="I40" s="448"/>
      <c r="J40" s="451"/>
      <c r="K40" s="454"/>
      <c r="L40" s="434"/>
      <c r="M40" s="434"/>
      <c r="N40" s="144">
        <v>44985</v>
      </c>
      <c r="O40" s="428"/>
      <c r="P40" s="145">
        <v>40595.74</v>
      </c>
      <c r="Q40" s="146">
        <v>45002</v>
      </c>
      <c r="R40" s="147"/>
      <c r="S40" s="145"/>
      <c r="T40" s="145"/>
      <c r="U40" s="431"/>
      <c r="V40" s="439"/>
      <c r="W40" s="442"/>
      <c r="X40" s="2">
        <v>22</v>
      </c>
    </row>
    <row r="41" spans="1:24" s="2" customFormat="1" x14ac:dyDescent="0.3">
      <c r="A41" s="426"/>
      <c r="B41" s="435"/>
      <c r="C41" s="435"/>
      <c r="D41" s="435"/>
      <c r="E41" s="435"/>
      <c r="F41" s="429"/>
      <c r="G41" s="446"/>
      <c r="H41" s="432"/>
      <c r="I41" s="449"/>
      <c r="J41" s="452"/>
      <c r="K41" s="455"/>
      <c r="L41" s="435"/>
      <c r="M41" s="435"/>
      <c r="N41" s="140">
        <v>44985</v>
      </c>
      <c r="O41" s="429"/>
      <c r="P41" s="141">
        <v>2591.27</v>
      </c>
      <c r="Q41" s="142">
        <v>45002</v>
      </c>
      <c r="R41" s="143"/>
      <c r="S41" s="141"/>
      <c r="T41" s="141"/>
      <c r="U41" s="432"/>
      <c r="V41" s="440"/>
      <c r="W41" s="443"/>
      <c r="X41" s="2">
        <v>22</v>
      </c>
    </row>
    <row r="42" spans="1:24" s="108" customFormat="1" ht="187.5" customHeight="1" x14ac:dyDescent="0.3">
      <c r="A42" s="424">
        <v>6</v>
      </c>
      <c r="B42" s="433" t="s">
        <v>56</v>
      </c>
      <c r="C42" s="433" t="s">
        <v>146</v>
      </c>
      <c r="D42" s="433" t="s">
        <v>147</v>
      </c>
      <c r="E42" s="433" t="s">
        <v>110</v>
      </c>
      <c r="F42" s="427">
        <v>44951</v>
      </c>
      <c r="G42" s="444" t="s">
        <v>189</v>
      </c>
      <c r="H42" s="430">
        <v>120250</v>
      </c>
      <c r="I42" s="447">
        <f>IF(X42 = 23, H42 + SUM(S42:S46) - SUM(T42:T46) - SUM(P42:P46) - V42,0)</f>
        <v>0</v>
      </c>
      <c r="J42" s="450">
        <v>2353020735</v>
      </c>
      <c r="K42" s="453" t="s">
        <v>157</v>
      </c>
      <c r="L42" s="433" t="s">
        <v>146</v>
      </c>
      <c r="M42" s="433"/>
      <c r="N42" s="136">
        <v>44946</v>
      </c>
      <c r="O42" s="427" t="s">
        <v>181</v>
      </c>
      <c r="P42" s="137">
        <v>29425</v>
      </c>
      <c r="Q42" s="138">
        <v>44965</v>
      </c>
      <c r="R42" s="139"/>
      <c r="S42" s="137"/>
      <c r="T42" s="137"/>
      <c r="U42" s="430"/>
      <c r="V42" s="438">
        <v>24025</v>
      </c>
      <c r="W42" s="441"/>
      <c r="X42" s="108">
        <v>23</v>
      </c>
    </row>
    <row r="43" spans="1:24" s="2" customFormat="1" x14ac:dyDescent="0.3">
      <c r="A43" s="425"/>
      <c r="B43" s="434"/>
      <c r="C43" s="434"/>
      <c r="D43" s="434"/>
      <c r="E43" s="434"/>
      <c r="F43" s="428"/>
      <c r="G43" s="445"/>
      <c r="H43" s="431"/>
      <c r="I43" s="448"/>
      <c r="J43" s="451"/>
      <c r="K43" s="454"/>
      <c r="L43" s="434"/>
      <c r="M43" s="434"/>
      <c r="N43" s="144">
        <v>44957</v>
      </c>
      <c r="O43" s="428"/>
      <c r="P43" s="145">
        <v>20725</v>
      </c>
      <c r="Q43" s="146">
        <v>44970</v>
      </c>
      <c r="R43" s="147"/>
      <c r="S43" s="145"/>
      <c r="T43" s="145"/>
      <c r="U43" s="431"/>
      <c r="V43" s="439"/>
      <c r="W43" s="442"/>
      <c r="X43" s="2">
        <v>23</v>
      </c>
    </row>
    <row r="44" spans="1:24" s="2" customFormat="1" x14ac:dyDescent="0.3">
      <c r="A44" s="425"/>
      <c r="B44" s="434"/>
      <c r="C44" s="434"/>
      <c r="D44" s="434"/>
      <c r="E44" s="434"/>
      <c r="F44" s="428"/>
      <c r="G44" s="445"/>
      <c r="H44" s="431"/>
      <c r="I44" s="448"/>
      <c r="J44" s="451"/>
      <c r="K44" s="454"/>
      <c r="L44" s="434"/>
      <c r="M44" s="434"/>
      <c r="N44" s="144">
        <v>44960</v>
      </c>
      <c r="O44" s="428"/>
      <c r="P44" s="145">
        <v>8650</v>
      </c>
      <c r="Q44" s="146">
        <v>44970</v>
      </c>
      <c r="R44" s="147"/>
      <c r="S44" s="145"/>
      <c r="T44" s="145"/>
      <c r="U44" s="431"/>
      <c r="V44" s="439"/>
      <c r="W44" s="442"/>
      <c r="X44" s="2">
        <v>23</v>
      </c>
    </row>
    <row r="45" spans="1:24" s="2" customFormat="1" x14ac:dyDescent="0.3">
      <c r="A45" s="425"/>
      <c r="B45" s="434"/>
      <c r="C45" s="434"/>
      <c r="D45" s="434"/>
      <c r="E45" s="434"/>
      <c r="F45" s="428"/>
      <c r="G45" s="445"/>
      <c r="H45" s="431"/>
      <c r="I45" s="448"/>
      <c r="J45" s="451"/>
      <c r="K45" s="454"/>
      <c r="L45" s="434"/>
      <c r="M45" s="434"/>
      <c r="N45" s="144">
        <v>44974</v>
      </c>
      <c r="O45" s="428"/>
      <c r="P45" s="145">
        <v>23100</v>
      </c>
      <c r="Q45" s="146">
        <v>44986</v>
      </c>
      <c r="R45" s="147"/>
      <c r="S45" s="145"/>
      <c r="T45" s="145"/>
      <c r="U45" s="431"/>
      <c r="V45" s="439"/>
      <c r="W45" s="442"/>
      <c r="X45" s="2">
        <v>23</v>
      </c>
    </row>
    <row r="46" spans="1:24" s="2" customFormat="1" x14ac:dyDescent="0.3">
      <c r="A46" s="426"/>
      <c r="B46" s="435"/>
      <c r="C46" s="435"/>
      <c r="D46" s="435"/>
      <c r="E46" s="435"/>
      <c r="F46" s="429"/>
      <c r="G46" s="446"/>
      <c r="H46" s="432"/>
      <c r="I46" s="449"/>
      <c r="J46" s="452"/>
      <c r="K46" s="455"/>
      <c r="L46" s="435"/>
      <c r="M46" s="435"/>
      <c r="N46" s="140">
        <v>44985</v>
      </c>
      <c r="O46" s="429"/>
      <c r="P46" s="141">
        <v>14325</v>
      </c>
      <c r="Q46" s="142">
        <v>44995</v>
      </c>
      <c r="R46" s="143"/>
      <c r="S46" s="141"/>
      <c r="T46" s="141"/>
      <c r="U46" s="432"/>
      <c r="V46" s="440"/>
      <c r="W46" s="443"/>
      <c r="X46" s="2">
        <v>23</v>
      </c>
    </row>
    <row r="47" spans="1:24" s="108" customFormat="1" ht="108" x14ac:dyDescent="0.3">
      <c r="A47" s="124">
        <v>7</v>
      </c>
      <c r="B47" s="125" t="s">
        <v>56</v>
      </c>
      <c r="C47" s="125" t="s">
        <v>146</v>
      </c>
      <c r="D47" s="125" t="s">
        <v>195</v>
      </c>
      <c r="E47" s="125" t="s">
        <v>112</v>
      </c>
      <c r="F47" s="135">
        <v>44951</v>
      </c>
      <c r="G47" s="126" t="s">
        <v>196</v>
      </c>
      <c r="H47" s="127">
        <v>49130</v>
      </c>
      <c r="I47" s="128">
        <f>IF(X47 = 24, H47 + SUM(S47:S47) - SUM(T47:T47) - SUM(P47:P47) - V47,0)</f>
        <v>0</v>
      </c>
      <c r="J47" s="129">
        <v>235303483777</v>
      </c>
      <c r="K47" s="130" t="s">
        <v>197</v>
      </c>
      <c r="L47" s="125" t="s">
        <v>146</v>
      </c>
      <c r="M47" s="125"/>
      <c r="N47" s="135">
        <v>44951</v>
      </c>
      <c r="O47" s="135" t="s">
        <v>181</v>
      </c>
      <c r="P47" s="127">
        <v>49130</v>
      </c>
      <c r="Q47" s="126">
        <v>44953</v>
      </c>
      <c r="R47" s="125"/>
      <c r="S47" s="127"/>
      <c r="T47" s="127"/>
      <c r="U47" s="127"/>
      <c r="V47" s="131"/>
      <c r="W47" s="133"/>
      <c r="X47" s="108">
        <v>24</v>
      </c>
    </row>
    <row r="48" spans="1:24" s="108" customFormat="1" ht="131.25" customHeight="1" x14ac:dyDescent="0.3">
      <c r="A48" s="294">
        <v>8</v>
      </c>
      <c r="B48" s="300" t="s">
        <v>56</v>
      </c>
      <c r="C48" s="300" t="s">
        <v>146</v>
      </c>
      <c r="D48" s="300" t="s">
        <v>199</v>
      </c>
      <c r="E48" s="300" t="s">
        <v>114</v>
      </c>
      <c r="F48" s="296">
        <v>44951</v>
      </c>
      <c r="G48" s="312" t="s">
        <v>198</v>
      </c>
      <c r="H48" s="298">
        <v>119880</v>
      </c>
      <c r="I48" s="308">
        <f>IF(X48 = 25, H48 + SUM(S48:S55) - SUM(T48:T55) - SUM(P48:P55) - V48,0)</f>
        <v>48474</v>
      </c>
      <c r="J48" s="409">
        <v>2353020735</v>
      </c>
      <c r="K48" s="412" t="s">
        <v>157</v>
      </c>
      <c r="L48" s="300" t="s">
        <v>146</v>
      </c>
      <c r="M48" s="300"/>
      <c r="N48" s="228">
        <v>44957</v>
      </c>
      <c r="O48" s="296" t="s">
        <v>181</v>
      </c>
      <c r="P48" s="219">
        <v>8190</v>
      </c>
      <c r="Q48" s="220">
        <v>44970</v>
      </c>
      <c r="R48" s="221"/>
      <c r="S48" s="219"/>
      <c r="T48" s="219"/>
      <c r="U48" s="298"/>
      <c r="V48" s="406"/>
      <c r="W48" s="304"/>
      <c r="X48" s="108">
        <v>25</v>
      </c>
    </row>
    <row r="49" spans="1:24" s="2" customFormat="1" x14ac:dyDescent="0.3">
      <c r="A49" s="318"/>
      <c r="B49" s="311"/>
      <c r="C49" s="311"/>
      <c r="D49" s="311"/>
      <c r="E49" s="311"/>
      <c r="F49" s="315"/>
      <c r="G49" s="313"/>
      <c r="H49" s="316"/>
      <c r="I49" s="317"/>
      <c r="J49" s="410"/>
      <c r="K49" s="413"/>
      <c r="L49" s="311"/>
      <c r="M49" s="311"/>
      <c r="N49" s="229">
        <v>44951</v>
      </c>
      <c r="O49" s="315"/>
      <c r="P49" s="222">
        <v>10764</v>
      </c>
      <c r="Q49" s="223">
        <v>44970</v>
      </c>
      <c r="R49" s="224"/>
      <c r="S49" s="222"/>
      <c r="T49" s="222"/>
      <c r="U49" s="316"/>
      <c r="V49" s="407"/>
      <c r="W49" s="310"/>
      <c r="X49" s="2">
        <v>25</v>
      </c>
    </row>
    <row r="50" spans="1:24" s="2" customFormat="1" x14ac:dyDescent="0.3">
      <c r="A50" s="318"/>
      <c r="B50" s="311"/>
      <c r="C50" s="311"/>
      <c r="D50" s="311"/>
      <c r="E50" s="311"/>
      <c r="F50" s="315"/>
      <c r="G50" s="313"/>
      <c r="H50" s="316"/>
      <c r="I50" s="317"/>
      <c r="J50" s="410"/>
      <c r="K50" s="413"/>
      <c r="L50" s="311"/>
      <c r="M50" s="311"/>
      <c r="N50" s="229">
        <v>44985</v>
      </c>
      <c r="O50" s="315"/>
      <c r="P50" s="222">
        <v>6430</v>
      </c>
      <c r="Q50" s="223">
        <v>44995</v>
      </c>
      <c r="R50" s="224"/>
      <c r="S50" s="222"/>
      <c r="T50" s="222"/>
      <c r="U50" s="316"/>
      <c r="V50" s="407"/>
      <c r="W50" s="310"/>
      <c r="X50" s="2">
        <v>25</v>
      </c>
    </row>
    <row r="51" spans="1:24" s="2" customFormat="1" x14ac:dyDescent="0.3">
      <c r="A51" s="318"/>
      <c r="B51" s="311"/>
      <c r="C51" s="311"/>
      <c r="D51" s="311"/>
      <c r="E51" s="311"/>
      <c r="F51" s="315"/>
      <c r="G51" s="313"/>
      <c r="H51" s="316"/>
      <c r="I51" s="317"/>
      <c r="J51" s="410"/>
      <c r="K51" s="413"/>
      <c r="L51" s="311"/>
      <c r="M51" s="311"/>
      <c r="N51" s="229">
        <v>44985</v>
      </c>
      <c r="O51" s="315"/>
      <c r="P51" s="222">
        <v>11316</v>
      </c>
      <c r="Q51" s="223">
        <v>44995</v>
      </c>
      <c r="R51" s="224"/>
      <c r="S51" s="222"/>
      <c r="T51" s="222"/>
      <c r="U51" s="316"/>
      <c r="V51" s="407"/>
      <c r="W51" s="310"/>
      <c r="X51" s="2">
        <v>25</v>
      </c>
    </row>
    <row r="52" spans="1:24" s="2" customFormat="1" x14ac:dyDescent="0.3">
      <c r="A52" s="318"/>
      <c r="B52" s="311"/>
      <c r="C52" s="311"/>
      <c r="D52" s="311"/>
      <c r="E52" s="311"/>
      <c r="F52" s="315"/>
      <c r="G52" s="313"/>
      <c r="H52" s="316"/>
      <c r="I52" s="317"/>
      <c r="J52" s="410"/>
      <c r="K52" s="413"/>
      <c r="L52" s="311"/>
      <c r="M52" s="311"/>
      <c r="N52" s="229">
        <v>45009</v>
      </c>
      <c r="O52" s="315"/>
      <c r="P52" s="222">
        <v>6030</v>
      </c>
      <c r="Q52" s="223">
        <v>45023</v>
      </c>
      <c r="R52" s="224"/>
      <c r="S52" s="222"/>
      <c r="T52" s="222"/>
      <c r="U52" s="316"/>
      <c r="V52" s="407"/>
      <c r="W52" s="310"/>
      <c r="X52" s="2">
        <v>25</v>
      </c>
    </row>
    <row r="53" spans="1:24" s="2" customFormat="1" x14ac:dyDescent="0.3">
      <c r="A53" s="318"/>
      <c r="B53" s="311"/>
      <c r="C53" s="311"/>
      <c r="D53" s="311"/>
      <c r="E53" s="311"/>
      <c r="F53" s="315"/>
      <c r="G53" s="313"/>
      <c r="H53" s="316"/>
      <c r="I53" s="317"/>
      <c r="J53" s="410"/>
      <c r="K53" s="413"/>
      <c r="L53" s="311"/>
      <c r="M53" s="311"/>
      <c r="N53" s="229">
        <v>45009</v>
      </c>
      <c r="O53" s="315"/>
      <c r="P53" s="222">
        <v>10830</v>
      </c>
      <c r="Q53" s="223">
        <v>45023</v>
      </c>
      <c r="R53" s="224"/>
      <c r="S53" s="222"/>
      <c r="T53" s="222"/>
      <c r="U53" s="316"/>
      <c r="V53" s="407"/>
      <c r="W53" s="310"/>
      <c r="X53" s="2">
        <v>25</v>
      </c>
    </row>
    <row r="54" spans="1:24" s="2" customFormat="1" x14ac:dyDescent="0.3">
      <c r="A54" s="318"/>
      <c r="B54" s="311"/>
      <c r="C54" s="311"/>
      <c r="D54" s="311"/>
      <c r="E54" s="311"/>
      <c r="F54" s="315"/>
      <c r="G54" s="313"/>
      <c r="H54" s="316"/>
      <c r="I54" s="317"/>
      <c r="J54" s="410"/>
      <c r="K54" s="413"/>
      <c r="L54" s="311"/>
      <c r="M54" s="311"/>
      <c r="N54" s="229">
        <v>45044</v>
      </c>
      <c r="O54" s="315"/>
      <c r="P54" s="222">
        <v>11616</v>
      </c>
      <c r="Q54" s="223">
        <v>45061</v>
      </c>
      <c r="R54" s="224"/>
      <c r="S54" s="222"/>
      <c r="T54" s="222"/>
      <c r="U54" s="316"/>
      <c r="V54" s="407"/>
      <c r="W54" s="310"/>
      <c r="X54" s="2">
        <v>25</v>
      </c>
    </row>
    <row r="55" spans="1:24" s="2" customFormat="1" x14ac:dyDescent="0.3">
      <c r="A55" s="295"/>
      <c r="B55" s="301"/>
      <c r="C55" s="301"/>
      <c r="D55" s="301"/>
      <c r="E55" s="301"/>
      <c r="F55" s="297"/>
      <c r="G55" s="314"/>
      <c r="H55" s="299"/>
      <c r="I55" s="309"/>
      <c r="J55" s="411"/>
      <c r="K55" s="414"/>
      <c r="L55" s="301"/>
      <c r="M55" s="301"/>
      <c r="N55" s="230">
        <v>45044</v>
      </c>
      <c r="O55" s="297"/>
      <c r="P55" s="225">
        <v>6230</v>
      </c>
      <c r="Q55" s="226">
        <v>45061</v>
      </c>
      <c r="R55" s="227"/>
      <c r="S55" s="225"/>
      <c r="T55" s="225"/>
      <c r="U55" s="299"/>
      <c r="V55" s="408"/>
      <c r="W55" s="305"/>
      <c r="X55" s="2">
        <v>25</v>
      </c>
    </row>
    <row r="56" spans="1:24" s="108" customFormat="1" ht="131.25" customHeight="1" x14ac:dyDescent="0.3">
      <c r="A56" s="324">
        <v>9</v>
      </c>
      <c r="B56" s="333" t="s">
        <v>56</v>
      </c>
      <c r="C56" s="333" t="s">
        <v>146</v>
      </c>
      <c r="D56" s="333" t="s">
        <v>147</v>
      </c>
      <c r="E56" s="333" t="s">
        <v>115</v>
      </c>
      <c r="F56" s="327">
        <v>44951</v>
      </c>
      <c r="G56" s="342" t="s">
        <v>200</v>
      </c>
      <c r="H56" s="330">
        <v>4500</v>
      </c>
      <c r="I56" s="345">
        <f>IF(X56 = 26, H56 + SUM(S56:S59) - SUM(T56:T59) - SUM(P56:P59) - V56,0)</f>
        <v>0</v>
      </c>
      <c r="J56" s="417">
        <v>2353020735</v>
      </c>
      <c r="K56" s="419" t="s">
        <v>157</v>
      </c>
      <c r="L56" s="333" t="s">
        <v>146</v>
      </c>
      <c r="M56" s="333"/>
      <c r="N56" s="198">
        <v>44951</v>
      </c>
      <c r="O56" s="327" t="s">
        <v>181</v>
      </c>
      <c r="P56" s="189">
        <v>1250</v>
      </c>
      <c r="Q56" s="190">
        <v>44970</v>
      </c>
      <c r="R56" s="191"/>
      <c r="S56" s="189"/>
      <c r="T56" s="189"/>
      <c r="U56" s="330"/>
      <c r="V56" s="415">
        <v>975</v>
      </c>
      <c r="W56" s="339"/>
      <c r="X56" s="108">
        <v>26</v>
      </c>
    </row>
    <row r="57" spans="1:24" s="2" customFormat="1" x14ac:dyDescent="0.3">
      <c r="A57" s="325"/>
      <c r="B57" s="334"/>
      <c r="C57" s="334"/>
      <c r="D57" s="334"/>
      <c r="E57" s="334"/>
      <c r="F57" s="328"/>
      <c r="G57" s="343"/>
      <c r="H57" s="331"/>
      <c r="I57" s="346"/>
      <c r="J57" s="422"/>
      <c r="K57" s="423"/>
      <c r="L57" s="334"/>
      <c r="M57" s="334"/>
      <c r="N57" s="199">
        <v>44985</v>
      </c>
      <c r="O57" s="328"/>
      <c r="P57" s="192">
        <v>1025</v>
      </c>
      <c r="Q57" s="193">
        <v>44995</v>
      </c>
      <c r="R57" s="194"/>
      <c r="S57" s="192"/>
      <c r="T57" s="192"/>
      <c r="U57" s="331"/>
      <c r="V57" s="421"/>
      <c r="W57" s="340"/>
      <c r="X57" s="2">
        <v>26</v>
      </c>
    </row>
    <row r="58" spans="1:24" s="2" customFormat="1" x14ac:dyDescent="0.3">
      <c r="A58" s="325"/>
      <c r="B58" s="334"/>
      <c r="C58" s="334"/>
      <c r="D58" s="334"/>
      <c r="E58" s="334"/>
      <c r="F58" s="328"/>
      <c r="G58" s="343"/>
      <c r="H58" s="331"/>
      <c r="I58" s="346"/>
      <c r="J58" s="422"/>
      <c r="K58" s="423"/>
      <c r="L58" s="334"/>
      <c r="M58" s="334"/>
      <c r="N58" s="199">
        <v>45009</v>
      </c>
      <c r="O58" s="328"/>
      <c r="P58" s="192">
        <v>1250</v>
      </c>
      <c r="Q58" s="193">
        <v>45016</v>
      </c>
      <c r="R58" s="194"/>
      <c r="S58" s="192"/>
      <c r="T58" s="192"/>
      <c r="U58" s="331"/>
      <c r="V58" s="421"/>
      <c r="W58" s="340"/>
      <c r="X58" s="2">
        <v>26</v>
      </c>
    </row>
    <row r="59" spans="1:24" s="2" customFormat="1" x14ac:dyDescent="0.3">
      <c r="A59" s="326"/>
      <c r="B59" s="335"/>
      <c r="C59" s="335"/>
      <c r="D59" s="335"/>
      <c r="E59" s="335"/>
      <c r="F59" s="329"/>
      <c r="G59" s="344"/>
      <c r="H59" s="332"/>
      <c r="I59" s="347"/>
      <c r="J59" s="418"/>
      <c r="K59" s="420"/>
      <c r="L59" s="335"/>
      <c r="M59" s="335"/>
      <c r="N59" s="200"/>
      <c r="O59" s="329"/>
      <c r="P59" s="195"/>
      <c r="Q59" s="196"/>
      <c r="R59" s="197"/>
      <c r="S59" s="195"/>
      <c r="T59" s="195"/>
      <c r="U59" s="332"/>
      <c r="V59" s="416"/>
      <c r="W59" s="341"/>
      <c r="X59" s="2">
        <v>26</v>
      </c>
    </row>
    <row r="60" spans="1:24" s="108" customFormat="1" ht="131.25" customHeight="1" x14ac:dyDescent="0.3">
      <c r="A60" s="324">
        <v>10</v>
      </c>
      <c r="B60" s="333" t="s">
        <v>56</v>
      </c>
      <c r="C60" s="333" t="s">
        <v>146</v>
      </c>
      <c r="D60" s="333" t="s">
        <v>147</v>
      </c>
      <c r="E60" s="333" t="s">
        <v>116</v>
      </c>
      <c r="F60" s="327">
        <v>44951</v>
      </c>
      <c r="G60" s="342" t="s">
        <v>200</v>
      </c>
      <c r="H60" s="330">
        <v>23879.7</v>
      </c>
      <c r="I60" s="345">
        <f>IF(X60 = 27, H60 + SUM(S60:S62) - SUM(T60:T62) - SUM(P60:P62) - V60,0)</f>
        <v>11392.130000000001</v>
      </c>
      <c r="J60" s="417">
        <v>2353020735</v>
      </c>
      <c r="K60" s="419" t="s">
        <v>157</v>
      </c>
      <c r="L60" s="333" t="s">
        <v>146</v>
      </c>
      <c r="M60" s="333"/>
      <c r="N60" s="198">
        <v>44957</v>
      </c>
      <c r="O60" s="327" t="s">
        <v>181</v>
      </c>
      <c r="P60" s="189">
        <v>4416.4799999999996</v>
      </c>
      <c r="Q60" s="190">
        <v>44970</v>
      </c>
      <c r="R60" s="191"/>
      <c r="S60" s="189"/>
      <c r="T60" s="189"/>
      <c r="U60" s="330"/>
      <c r="V60" s="415"/>
      <c r="W60" s="339"/>
      <c r="X60" s="108">
        <v>27</v>
      </c>
    </row>
    <row r="61" spans="1:24" s="2" customFormat="1" x14ac:dyDescent="0.3">
      <c r="A61" s="325"/>
      <c r="B61" s="334"/>
      <c r="C61" s="334"/>
      <c r="D61" s="334"/>
      <c r="E61" s="334"/>
      <c r="F61" s="328"/>
      <c r="G61" s="343"/>
      <c r="H61" s="331"/>
      <c r="I61" s="346"/>
      <c r="J61" s="422"/>
      <c r="K61" s="423"/>
      <c r="L61" s="334"/>
      <c r="M61" s="334"/>
      <c r="N61" s="199">
        <v>44985</v>
      </c>
      <c r="O61" s="328"/>
      <c r="P61" s="192">
        <v>3654.61</v>
      </c>
      <c r="Q61" s="193">
        <v>44995</v>
      </c>
      <c r="R61" s="194"/>
      <c r="S61" s="192"/>
      <c r="T61" s="192"/>
      <c r="U61" s="331"/>
      <c r="V61" s="421"/>
      <c r="W61" s="340"/>
      <c r="X61" s="2">
        <v>27</v>
      </c>
    </row>
    <row r="62" spans="1:24" s="2" customFormat="1" x14ac:dyDescent="0.3">
      <c r="A62" s="326"/>
      <c r="B62" s="335"/>
      <c r="C62" s="335"/>
      <c r="D62" s="335"/>
      <c r="E62" s="335"/>
      <c r="F62" s="329"/>
      <c r="G62" s="344"/>
      <c r="H62" s="332"/>
      <c r="I62" s="347"/>
      <c r="J62" s="418"/>
      <c r="K62" s="420"/>
      <c r="L62" s="335"/>
      <c r="M62" s="335"/>
      <c r="N62" s="200">
        <v>45009</v>
      </c>
      <c r="O62" s="329"/>
      <c r="P62" s="195">
        <v>4416.4799999999996</v>
      </c>
      <c r="Q62" s="196">
        <v>45023</v>
      </c>
      <c r="R62" s="197"/>
      <c r="S62" s="195"/>
      <c r="T62" s="195"/>
      <c r="U62" s="332"/>
      <c r="V62" s="416"/>
      <c r="W62" s="341"/>
      <c r="X62" s="2">
        <v>27</v>
      </c>
    </row>
    <row r="63" spans="1:24" s="108" customFormat="1" ht="131.25" customHeight="1" x14ac:dyDescent="0.3">
      <c r="A63" s="324">
        <v>11</v>
      </c>
      <c r="B63" s="333" t="s">
        <v>56</v>
      </c>
      <c r="C63" s="333" t="s">
        <v>146</v>
      </c>
      <c r="D63" s="333" t="s">
        <v>147</v>
      </c>
      <c r="E63" s="333" t="s">
        <v>117</v>
      </c>
      <c r="F63" s="327">
        <v>44951</v>
      </c>
      <c r="G63" s="342" t="s">
        <v>201</v>
      </c>
      <c r="H63" s="330">
        <v>31500</v>
      </c>
      <c r="I63" s="345">
        <f>IF(X63 = 28, H63 + SUM(S63:S66) - SUM(T63:T66) - SUM(P63:P66) - V63,0)</f>
        <v>5150</v>
      </c>
      <c r="J63" s="417">
        <v>2353020735</v>
      </c>
      <c r="K63" s="419" t="s">
        <v>157</v>
      </c>
      <c r="L63" s="333" t="s">
        <v>146</v>
      </c>
      <c r="M63" s="333"/>
      <c r="N63" s="198">
        <v>44957</v>
      </c>
      <c r="O63" s="327" t="s">
        <v>181</v>
      </c>
      <c r="P63" s="189">
        <v>8775</v>
      </c>
      <c r="Q63" s="190">
        <v>44970</v>
      </c>
      <c r="R63" s="191"/>
      <c r="S63" s="189"/>
      <c r="T63" s="189"/>
      <c r="U63" s="330"/>
      <c r="V63" s="415"/>
      <c r="W63" s="339"/>
      <c r="X63" s="108">
        <v>28</v>
      </c>
    </row>
    <row r="64" spans="1:24" s="2" customFormat="1" x14ac:dyDescent="0.3">
      <c r="A64" s="325"/>
      <c r="B64" s="334"/>
      <c r="C64" s="334"/>
      <c r="D64" s="334"/>
      <c r="E64" s="334"/>
      <c r="F64" s="328"/>
      <c r="G64" s="343"/>
      <c r="H64" s="331"/>
      <c r="I64" s="346"/>
      <c r="J64" s="422"/>
      <c r="K64" s="423"/>
      <c r="L64" s="334"/>
      <c r="M64" s="334"/>
      <c r="N64" s="199">
        <v>44985</v>
      </c>
      <c r="O64" s="328"/>
      <c r="P64" s="192">
        <v>8950</v>
      </c>
      <c r="Q64" s="193">
        <v>44995</v>
      </c>
      <c r="R64" s="194"/>
      <c r="S64" s="192"/>
      <c r="T64" s="192"/>
      <c r="U64" s="331"/>
      <c r="V64" s="421"/>
      <c r="W64" s="340"/>
      <c r="X64" s="2">
        <v>28</v>
      </c>
    </row>
    <row r="65" spans="1:24" s="2" customFormat="1" x14ac:dyDescent="0.3">
      <c r="A65" s="325"/>
      <c r="B65" s="334"/>
      <c r="C65" s="334"/>
      <c r="D65" s="334"/>
      <c r="E65" s="334"/>
      <c r="F65" s="328"/>
      <c r="G65" s="343"/>
      <c r="H65" s="331"/>
      <c r="I65" s="346"/>
      <c r="J65" s="422"/>
      <c r="K65" s="423"/>
      <c r="L65" s="334"/>
      <c r="M65" s="334"/>
      <c r="N65" s="199">
        <v>45009</v>
      </c>
      <c r="O65" s="328"/>
      <c r="P65" s="192">
        <v>8625</v>
      </c>
      <c r="Q65" s="193">
        <v>45023</v>
      </c>
      <c r="R65" s="194"/>
      <c r="S65" s="192"/>
      <c r="T65" s="192"/>
      <c r="U65" s="331"/>
      <c r="V65" s="421"/>
      <c r="W65" s="340"/>
      <c r="X65" s="2">
        <v>28</v>
      </c>
    </row>
    <row r="66" spans="1:24" s="2" customFormat="1" x14ac:dyDescent="0.3">
      <c r="A66" s="326"/>
      <c r="B66" s="335"/>
      <c r="C66" s="335"/>
      <c r="D66" s="335"/>
      <c r="E66" s="335"/>
      <c r="F66" s="329"/>
      <c r="G66" s="344"/>
      <c r="H66" s="332"/>
      <c r="I66" s="347"/>
      <c r="J66" s="418"/>
      <c r="K66" s="420"/>
      <c r="L66" s="335"/>
      <c r="M66" s="335"/>
      <c r="N66" s="200"/>
      <c r="O66" s="329"/>
      <c r="P66" s="195"/>
      <c r="Q66" s="196"/>
      <c r="R66" s="197"/>
      <c r="S66" s="195"/>
      <c r="T66" s="195"/>
      <c r="U66" s="332"/>
      <c r="V66" s="416"/>
      <c r="W66" s="341"/>
      <c r="X66" s="2">
        <v>28</v>
      </c>
    </row>
    <row r="67" spans="1:24" s="108" customFormat="1" ht="131.25" customHeight="1" x14ac:dyDescent="0.3">
      <c r="A67" s="294">
        <v>12</v>
      </c>
      <c r="B67" s="300" t="s">
        <v>56</v>
      </c>
      <c r="C67" s="300" t="s">
        <v>146</v>
      </c>
      <c r="D67" s="300" t="s">
        <v>147</v>
      </c>
      <c r="E67" s="300" t="s">
        <v>118</v>
      </c>
      <c r="F67" s="296">
        <v>44951</v>
      </c>
      <c r="G67" s="312" t="s">
        <v>202</v>
      </c>
      <c r="H67" s="298">
        <v>176885.1</v>
      </c>
      <c r="I67" s="308">
        <f>IF(X67 = 29, H67 + SUM(S67:S78) - SUM(T67:T78) - SUM(P67:P78) - V67,0)</f>
        <v>85622.04</v>
      </c>
      <c r="J67" s="409">
        <v>2353020735</v>
      </c>
      <c r="K67" s="412" t="s">
        <v>157</v>
      </c>
      <c r="L67" s="300" t="s">
        <v>146</v>
      </c>
      <c r="M67" s="300"/>
      <c r="N67" s="228">
        <v>44957</v>
      </c>
      <c r="O67" s="296" t="s">
        <v>181</v>
      </c>
      <c r="P67" s="219">
        <v>15204.67</v>
      </c>
      <c r="Q67" s="220">
        <v>44970</v>
      </c>
      <c r="R67" s="221"/>
      <c r="S67" s="219"/>
      <c r="T67" s="219"/>
      <c r="U67" s="298"/>
      <c r="V67" s="406"/>
      <c r="W67" s="304"/>
      <c r="X67" s="108">
        <v>29</v>
      </c>
    </row>
    <row r="68" spans="1:24" s="2" customFormat="1" x14ac:dyDescent="0.3">
      <c r="A68" s="318"/>
      <c r="B68" s="311"/>
      <c r="C68" s="311"/>
      <c r="D68" s="311"/>
      <c r="E68" s="311"/>
      <c r="F68" s="315"/>
      <c r="G68" s="313"/>
      <c r="H68" s="316"/>
      <c r="I68" s="317"/>
      <c r="J68" s="410"/>
      <c r="K68" s="413"/>
      <c r="L68" s="311"/>
      <c r="M68" s="311"/>
      <c r="N68" s="229">
        <v>44957</v>
      </c>
      <c r="O68" s="315"/>
      <c r="P68" s="222">
        <v>12440.18</v>
      </c>
      <c r="Q68" s="223">
        <v>44970</v>
      </c>
      <c r="R68" s="224"/>
      <c r="S68" s="222"/>
      <c r="T68" s="222"/>
      <c r="U68" s="316"/>
      <c r="V68" s="407"/>
      <c r="W68" s="310"/>
      <c r="X68" s="2">
        <v>29</v>
      </c>
    </row>
    <row r="69" spans="1:24" s="2" customFormat="1" x14ac:dyDescent="0.3">
      <c r="A69" s="318"/>
      <c r="B69" s="311"/>
      <c r="C69" s="311"/>
      <c r="D69" s="311"/>
      <c r="E69" s="311"/>
      <c r="F69" s="315"/>
      <c r="G69" s="313"/>
      <c r="H69" s="316"/>
      <c r="I69" s="317"/>
      <c r="J69" s="410"/>
      <c r="K69" s="413"/>
      <c r="L69" s="311"/>
      <c r="M69" s="311"/>
      <c r="N69" s="229">
        <v>44985</v>
      </c>
      <c r="O69" s="315"/>
      <c r="P69" s="222">
        <v>15431.32</v>
      </c>
      <c r="Q69" s="223">
        <v>44995</v>
      </c>
      <c r="R69" s="224"/>
      <c r="S69" s="222"/>
      <c r="T69" s="222"/>
      <c r="U69" s="316"/>
      <c r="V69" s="407"/>
      <c r="W69" s="310"/>
      <c r="X69" s="2">
        <v>29</v>
      </c>
    </row>
    <row r="70" spans="1:24" s="2" customFormat="1" x14ac:dyDescent="0.3">
      <c r="A70" s="318"/>
      <c r="B70" s="311"/>
      <c r="C70" s="311"/>
      <c r="D70" s="311"/>
      <c r="E70" s="311"/>
      <c r="F70" s="315"/>
      <c r="G70" s="313"/>
      <c r="H70" s="316"/>
      <c r="I70" s="317"/>
      <c r="J70" s="410"/>
      <c r="K70" s="413"/>
      <c r="L70" s="311"/>
      <c r="M70" s="311"/>
      <c r="N70" s="229">
        <v>44985</v>
      </c>
      <c r="O70" s="315"/>
      <c r="P70" s="222">
        <v>12625.62</v>
      </c>
      <c r="Q70" s="223">
        <v>44995</v>
      </c>
      <c r="R70" s="224"/>
      <c r="S70" s="222"/>
      <c r="T70" s="222"/>
      <c r="U70" s="316"/>
      <c r="V70" s="407"/>
      <c r="W70" s="310"/>
      <c r="X70" s="2">
        <v>29</v>
      </c>
    </row>
    <row r="71" spans="1:24" s="2" customFormat="1" x14ac:dyDescent="0.3">
      <c r="A71" s="318"/>
      <c r="B71" s="311"/>
      <c r="C71" s="311"/>
      <c r="D71" s="311"/>
      <c r="E71" s="311"/>
      <c r="F71" s="315"/>
      <c r="G71" s="313"/>
      <c r="H71" s="316"/>
      <c r="I71" s="317"/>
      <c r="J71" s="410"/>
      <c r="K71" s="413"/>
      <c r="L71" s="311"/>
      <c r="M71" s="311"/>
      <c r="N71" s="229">
        <v>45009</v>
      </c>
      <c r="O71" s="315"/>
      <c r="P71" s="222">
        <v>14894.04</v>
      </c>
      <c r="Q71" s="223">
        <v>45023</v>
      </c>
      <c r="R71" s="224"/>
      <c r="S71" s="222"/>
      <c r="T71" s="222"/>
      <c r="U71" s="316"/>
      <c r="V71" s="407"/>
      <c r="W71" s="310"/>
      <c r="X71" s="2">
        <v>29</v>
      </c>
    </row>
    <row r="72" spans="1:24" s="2" customFormat="1" x14ac:dyDescent="0.3">
      <c r="A72" s="318"/>
      <c r="B72" s="311"/>
      <c r="C72" s="311"/>
      <c r="D72" s="311"/>
      <c r="E72" s="311"/>
      <c r="F72" s="315"/>
      <c r="G72" s="313"/>
      <c r="H72" s="316"/>
      <c r="I72" s="317"/>
      <c r="J72" s="410"/>
      <c r="K72" s="413"/>
      <c r="L72" s="311"/>
      <c r="M72" s="311"/>
      <c r="N72" s="229">
        <v>45009</v>
      </c>
      <c r="O72" s="315"/>
      <c r="P72" s="222">
        <v>12186.03</v>
      </c>
      <c r="Q72" s="223">
        <v>45023</v>
      </c>
      <c r="R72" s="224"/>
      <c r="S72" s="222"/>
      <c r="T72" s="222"/>
      <c r="U72" s="316"/>
      <c r="V72" s="407"/>
      <c r="W72" s="310"/>
      <c r="X72" s="2">
        <v>29</v>
      </c>
    </row>
    <row r="73" spans="1:24" s="2" customFormat="1" x14ac:dyDescent="0.3">
      <c r="A73" s="318"/>
      <c r="B73" s="311"/>
      <c r="C73" s="311"/>
      <c r="D73" s="311"/>
      <c r="E73" s="311"/>
      <c r="F73" s="315"/>
      <c r="G73" s="313"/>
      <c r="H73" s="316"/>
      <c r="I73" s="317"/>
      <c r="J73" s="410"/>
      <c r="K73" s="413"/>
      <c r="L73" s="311"/>
      <c r="M73" s="311"/>
      <c r="N73" s="229">
        <v>45064</v>
      </c>
      <c r="O73" s="315"/>
      <c r="P73" s="222">
        <v>1531.53</v>
      </c>
      <c r="Q73" s="223">
        <v>45064</v>
      </c>
      <c r="R73" s="224"/>
      <c r="S73" s="222"/>
      <c r="T73" s="222"/>
      <c r="U73" s="316"/>
      <c r="V73" s="407"/>
      <c r="W73" s="310"/>
      <c r="X73" s="2">
        <v>29</v>
      </c>
    </row>
    <row r="74" spans="1:24" s="2" customFormat="1" x14ac:dyDescent="0.3">
      <c r="A74" s="318"/>
      <c r="B74" s="311"/>
      <c r="C74" s="311"/>
      <c r="D74" s="311"/>
      <c r="E74" s="311"/>
      <c r="F74" s="315"/>
      <c r="G74" s="313"/>
      <c r="H74" s="316"/>
      <c r="I74" s="317"/>
      <c r="J74" s="410"/>
      <c r="K74" s="413"/>
      <c r="L74" s="311"/>
      <c r="M74" s="311"/>
      <c r="N74" s="229">
        <v>45064</v>
      </c>
      <c r="O74" s="315"/>
      <c r="P74" s="222">
        <v>1253.07</v>
      </c>
      <c r="Q74" s="223">
        <v>45064</v>
      </c>
      <c r="R74" s="224"/>
      <c r="S74" s="222"/>
      <c r="T74" s="222"/>
      <c r="U74" s="316"/>
      <c r="V74" s="407"/>
      <c r="W74" s="310"/>
      <c r="X74" s="2">
        <v>29</v>
      </c>
    </row>
    <row r="75" spans="1:24" s="2" customFormat="1" x14ac:dyDescent="0.3">
      <c r="A75" s="318"/>
      <c r="B75" s="311"/>
      <c r="C75" s="311"/>
      <c r="D75" s="311"/>
      <c r="E75" s="311"/>
      <c r="F75" s="315"/>
      <c r="G75" s="313"/>
      <c r="H75" s="316"/>
      <c r="I75" s="317"/>
      <c r="J75" s="410"/>
      <c r="K75" s="413"/>
      <c r="L75" s="311"/>
      <c r="M75" s="311"/>
      <c r="N75" s="229">
        <v>45064</v>
      </c>
      <c r="O75" s="315"/>
      <c r="P75" s="222">
        <v>1601.6</v>
      </c>
      <c r="Q75" s="223">
        <v>45064</v>
      </c>
      <c r="R75" s="224"/>
      <c r="S75" s="222"/>
      <c r="T75" s="222"/>
      <c r="U75" s="316"/>
      <c r="V75" s="407"/>
      <c r="W75" s="310"/>
      <c r="X75" s="2">
        <v>29</v>
      </c>
    </row>
    <row r="76" spans="1:24" s="2" customFormat="1" x14ac:dyDescent="0.3">
      <c r="A76" s="318"/>
      <c r="B76" s="311"/>
      <c r="C76" s="311"/>
      <c r="D76" s="311"/>
      <c r="E76" s="311"/>
      <c r="F76" s="315"/>
      <c r="G76" s="313"/>
      <c r="H76" s="316"/>
      <c r="I76" s="317"/>
      <c r="J76" s="410"/>
      <c r="K76" s="413"/>
      <c r="L76" s="311"/>
      <c r="M76" s="311"/>
      <c r="N76" s="229">
        <v>45064</v>
      </c>
      <c r="O76" s="315"/>
      <c r="P76" s="222">
        <v>1310.4000000000001</v>
      </c>
      <c r="Q76" s="223">
        <v>45064</v>
      </c>
      <c r="R76" s="224"/>
      <c r="S76" s="222"/>
      <c r="T76" s="222"/>
      <c r="U76" s="316"/>
      <c r="V76" s="407"/>
      <c r="W76" s="310"/>
      <c r="X76" s="2">
        <v>29</v>
      </c>
    </row>
    <row r="77" spans="1:24" s="2" customFormat="1" x14ac:dyDescent="0.3">
      <c r="A77" s="318"/>
      <c r="B77" s="311"/>
      <c r="C77" s="311"/>
      <c r="D77" s="311"/>
      <c r="E77" s="311"/>
      <c r="F77" s="315"/>
      <c r="G77" s="313"/>
      <c r="H77" s="316"/>
      <c r="I77" s="317"/>
      <c r="J77" s="410"/>
      <c r="K77" s="413"/>
      <c r="L77" s="311"/>
      <c r="M77" s="311"/>
      <c r="N77" s="229">
        <v>45064</v>
      </c>
      <c r="O77" s="315"/>
      <c r="P77" s="222">
        <v>1531.53</v>
      </c>
      <c r="Q77" s="223">
        <v>45064</v>
      </c>
      <c r="R77" s="224"/>
      <c r="S77" s="222"/>
      <c r="T77" s="222"/>
      <c r="U77" s="316"/>
      <c r="V77" s="407"/>
      <c r="W77" s="310"/>
      <c r="X77" s="2">
        <v>29</v>
      </c>
    </row>
    <row r="78" spans="1:24" s="2" customFormat="1" x14ac:dyDescent="0.3">
      <c r="A78" s="295"/>
      <c r="B78" s="301"/>
      <c r="C78" s="301"/>
      <c r="D78" s="301"/>
      <c r="E78" s="301"/>
      <c r="F78" s="297"/>
      <c r="G78" s="314"/>
      <c r="H78" s="299"/>
      <c r="I78" s="309"/>
      <c r="J78" s="411"/>
      <c r="K78" s="414"/>
      <c r="L78" s="301"/>
      <c r="M78" s="301"/>
      <c r="N78" s="230">
        <v>45064</v>
      </c>
      <c r="O78" s="297"/>
      <c r="P78" s="225">
        <v>1253.07</v>
      </c>
      <c r="Q78" s="226">
        <v>45064</v>
      </c>
      <c r="R78" s="227"/>
      <c r="S78" s="225"/>
      <c r="T78" s="225"/>
      <c r="U78" s="299"/>
      <c r="V78" s="408"/>
      <c r="W78" s="305"/>
      <c r="X78" s="2">
        <v>29</v>
      </c>
    </row>
    <row r="79" spans="1:24" s="108" customFormat="1" ht="108" x14ac:dyDescent="0.3">
      <c r="A79" s="124">
        <v>13</v>
      </c>
      <c r="B79" s="125" t="s">
        <v>56</v>
      </c>
      <c r="C79" s="125" t="s">
        <v>146</v>
      </c>
      <c r="D79" s="125" t="s">
        <v>147</v>
      </c>
      <c r="E79" s="125" t="s">
        <v>123</v>
      </c>
      <c r="F79" s="135">
        <v>44984</v>
      </c>
      <c r="G79" s="126" t="s">
        <v>224</v>
      </c>
      <c r="H79" s="127">
        <v>7270</v>
      </c>
      <c r="I79" s="128">
        <f>IF(X79 = 30, H79 + SUM(S79:S79) - SUM(T79:T79) - SUM(P79:P79) - V79,0)</f>
        <v>0</v>
      </c>
      <c r="J79" s="129">
        <v>235002152355</v>
      </c>
      <c r="K79" s="130" t="s">
        <v>225</v>
      </c>
      <c r="L79" s="125" t="s">
        <v>146</v>
      </c>
      <c r="M79" s="125"/>
      <c r="N79" s="135">
        <v>44986</v>
      </c>
      <c r="O79" s="135" t="s">
        <v>181</v>
      </c>
      <c r="P79" s="127">
        <v>7270</v>
      </c>
      <c r="Q79" s="126">
        <v>44986</v>
      </c>
      <c r="R79" s="125"/>
      <c r="S79" s="127"/>
      <c r="T79" s="127"/>
      <c r="U79" s="127"/>
      <c r="V79" s="131"/>
      <c r="W79" s="133"/>
      <c r="X79" s="108">
        <v>30</v>
      </c>
    </row>
    <row r="80" spans="1:24" s="108" customFormat="1" ht="131.25" customHeight="1" x14ac:dyDescent="0.3">
      <c r="A80" s="324">
        <v>14</v>
      </c>
      <c r="B80" s="333" t="s">
        <v>56</v>
      </c>
      <c r="C80" s="333" t="s">
        <v>146</v>
      </c>
      <c r="D80" s="333" t="s">
        <v>147</v>
      </c>
      <c r="E80" s="333" t="s">
        <v>121</v>
      </c>
      <c r="F80" s="327">
        <v>44986</v>
      </c>
      <c r="G80" s="342" t="s">
        <v>234</v>
      </c>
      <c r="H80" s="330">
        <v>171142.39999999999</v>
      </c>
      <c r="I80" s="345">
        <f>IF(X80 = 31, H80 + SUM(S80:S85) - SUM(T80:T85) - SUM(P80:P85) - V80,0)</f>
        <v>26836.209999999992</v>
      </c>
      <c r="J80" s="417">
        <v>2353020735</v>
      </c>
      <c r="K80" s="419" t="s">
        <v>157</v>
      </c>
      <c r="L80" s="333" t="s">
        <v>146</v>
      </c>
      <c r="M80" s="333"/>
      <c r="N80" s="198">
        <v>44988</v>
      </c>
      <c r="O80" s="327" t="s">
        <v>235</v>
      </c>
      <c r="P80" s="189">
        <v>24442.46</v>
      </c>
      <c r="Q80" s="190">
        <v>45002</v>
      </c>
      <c r="R80" s="191"/>
      <c r="S80" s="189"/>
      <c r="T80" s="189"/>
      <c r="U80" s="330"/>
      <c r="V80" s="415"/>
      <c r="W80" s="339"/>
      <c r="X80" s="108">
        <v>31</v>
      </c>
    </row>
    <row r="81" spans="1:24" s="2" customFormat="1" x14ac:dyDescent="0.3">
      <c r="A81" s="325"/>
      <c r="B81" s="334"/>
      <c r="C81" s="334"/>
      <c r="D81" s="334"/>
      <c r="E81" s="334"/>
      <c r="F81" s="328"/>
      <c r="G81" s="343"/>
      <c r="H81" s="331"/>
      <c r="I81" s="346"/>
      <c r="J81" s="422"/>
      <c r="K81" s="423"/>
      <c r="L81" s="334"/>
      <c r="M81" s="334"/>
      <c r="N81" s="199">
        <v>44988</v>
      </c>
      <c r="O81" s="328"/>
      <c r="P81" s="192">
        <v>1560.19</v>
      </c>
      <c r="Q81" s="193">
        <v>45002</v>
      </c>
      <c r="R81" s="194"/>
      <c r="S81" s="192"/>
      <c r="T81" s="192"/>
      <c r="U81" s="331"/>
      <c r="V81" s="421"/>
      <c r="W81" s="340"/>
      <c r="X81" s="2">
        <v>31</v>
      </c>
    </row>
    <row r="82" spans="1:24" s="2" customFormat="1" x14ac:dyDescent="0.3">
      <c r="A82" s="325"/>
      <c r="B82" s="334"/>
      <c r="C82" s="334"/>
      <c r="D82" s="334"/>
      <c r="E82" s="334"/>
      <c r="F82" s="328"/>
      <c r="G82" s="343"/>
      <c r="H82" s="331"/>
      <c r="I82" s="346"/>
      <c r="J82" s="422"/>
      <c r="K82" s="423"/>
      <c r="L82" s="334"/>
      <c r="M82" s="334"/>
      <c r="N82" s="199">
        <v>45002</v>
      </c>
      <c r="O82" s="328"/>
      <c r="P82" s="192">
        <v>67674.67</v>
      </c>
      <c r="Q82" s="193">
        <v>45007</v>
      </c>
      <c r="R82" s="194"/>
      <c r="S82" s="192"/>
      <c r="T82" s="192"/>
      <c r="U82" s="331"/>
      <c r="V82" s="421"/>
      <c r="W82" s="340"/>
      <c r="X82" s="2">
        <v>31</v>
      </c>
    </row>
    <row r="83" spans="1:24" s="2" customFormat="1" x14ac:dyDescent="0.3">
      <c r="A83" s="325"/>
      <c r="B83" s="334"/>
      <c r="C83" s="334"/>
      <c r="D83" s="334"/>
      <c r="E83" s="334"/>
      <c r="F83" s="328"/>
      <c r="G83" s="343"/>
      <c r="H83" s="331"/>
      <c r="I83" s="346"/>
      <c r="J83" s="422"/>
      <c r="K83" s="423"/>
      <c r="L83" s="334"/>
      <c r="M83" s="334"/>
      <c r="N83" s="199">
        <v>45002</v>
      </c>
      <c r="O83" s="328"/>
      <c r="P83" s="192">
        <v>4319.75</v>
      </c>
      <c r="Q83" s="193">
        <v>45007</v>
      </c>
      <c r="R83" s="194"/>
      <c r="S83" s="192"/>
      <c r="T83" s="192"/>
      <c r="U83" s="331"/>
      <c r="V83" s="421"/>
      <c r="W83" s="340"/>
      <c r="X83" s="2">
        <v>31</v>
      </c>
    </row>
    <row r="84" spans="1:24" s="2" customFormat="1" x14ac:dyDescent="0.3">
      <c r="A84" s="325"/>
      <c r="B84" s="334"/>
      <c r="C84" s="334"/>
      <c r="D84" s="334"/>
      <c r="E84" s="334"/>
      <c r="F84" s="328"/>
      <c r="G84" s="343"/>
      <c r="H84" s="331"/>
      <c r="I84" s="346"/>
      <c r="J84" s="422"/>
      <c r="K84" s="423"/>
      <c r="L84" s="334"/>
      <c r="M84" s="334"/>
      <c r="N84" s="199">
        <v>45009</v>
      </c>
      <c r="O84" s="328"/>
      <c r="P84" s="192">
        <v>43530.52</v>
      </c>
      <c r="Q84" s="193">
        <v>45026</v>
      </c>
      <c r="R84" s="194"/>
      <c r="S84" s="192"/>
      <c r="T84" s="192"/>
      <c r="U84" s="331"/>
      <c r="V84" s="421"/>
      <c r="W84" s="340"/>
      <c r="X84" s="2">
        <v>31</v>
      </c>
    </row>
    <row r="85" spans="1:24" s="2" customFormat="1" x14ac:dyDescent="0.3">
      <c r="A85" s="326"/>
      <c r="B85" s="335"/>
      <c r="C85" s="335"/>
      <c r="D85" s="335"/>
      <c r="E85" s="335"/>
      <c r="F85" s="329"/>
      <c r="G85" s="344"/>
      <c r="H85" s="332"/>
      <c r="I85" s="347"/>
      <c r="J85" s="418"/>
      <c r="K85" s="420"/>
      <c r="L85" s="335"/>
      <c r="M85" s="335"/>
      <c r="N85" s="200">
        <v>45009</v>
      </c>
      <c r="O85" s="329"/>
      <c r="P85" s="195">
        <v>2778.6</v>
      </c>
      <c r="Q85" s="196">
        <v>45026</v>
      </c>
      <c r="R85" s="197"/>
      <c r="S85" s="195"/>
      <c r="T85" s="195"/>
      <c r="U85" s="332"/>
      <c r="V85" s="416"/>
      <c r="W85" s="341"/>
      <c r="X85" s="2">
        <v>31</v>
      </c>
    </row>
    <row r="86" spans="1:24" s="108" customFormat="1" ht="131.25" customHeight="1" x14ac:dyDescent="0.3">
      <c r="A86" s="390">
        <v>15</v>
      </c>
      <c r="B86" s="396" t="s">
        <v>56</v>
      </c>
      <c r="C86" s="396" t="s">
        <v>146</v>
      </c>
      <c r="D86" s="396" t="s">
        <v>147</v>
      </c>
      <c r="E86" s="396" t="s">
        <v>122</v>
      </c>
      <c r="F86" s="392">
        <v>44986</v>
      </c>
      <c r="G86" s="471" t="s">
        <v>236</v>
      </c>
      <c r="H86" s="394">
        <v>55250</v>
      </c>
      <c r="I86" s="404">
        <f>IF(X86 = 32, H86 + SUM(S86:S88) - SUM(T86:T88) - SUM(P86:P88) - V86,0)</f>
        <v>6025</v>
      </c>
      <c r="J86" s="458">
        <v>2353020735</v>
      </c>
      <c r="K86" s="461" t="s">
        <v>157</v>
      </c>
      <c r="L86" s="396" t="s">
        <v>146</v>
      </c>
      <c r="M86" s="396"/>
      <c r="N86" s="163">
        <v>44988</v>
      </c>
      <c r="O86" s="392" t="s">
        <v>235</v>
      </c>
      <c r="P86" s="164">
        <v>8625</v>
      </c>
      <c r="Q86" s="165">
        <v>44995</v>
      </c>
      <c r="R86" s="166"/>
      <c r="S86" s="164"/>
      <c r="T86" s="164"/>
      <c r="U86" s="394"/>
      <c r="V86" s="468"/>
      <c r="W86" s="400"/>
      <c r="X86" s="108">
        <v>32</v>
      </c>
    </row>
    <row r="87" spans="1:24" s="2" customFormat="1" x14ac:dyDescent="0.3">
      <c r="A87" s="465"/>
      <c r="B87" s="464"/>
      <c r="C87" s="464"/>
      <c r="D87" s="464"/>
      <c r="E87" s="464"/>
      <c r="F87" s="466"/>
      <c r="G87" s="472"/>
      <c r="H87" s="467"/>
      <c r="I87" s="457"/>
      <c r="J87" s="459"/>
      <c r="K87" s="462"/>
      <c r="L87" s="464"/>
      <c r="M87" s="464"/>
      <c r="N87" s="171">
        <v>45002</v>
      </c>
      <c r="O87" s="466"/>
      <c r="P87" s="172">
        <v>25650</v>
      </c>
      <c r="Q87" s="173">
        <v>45007</v>
      </c>
      <c r="R87" s="174"/>
      <c r="S87" s="172"/>
      <c r="T87" s="172"/>
      <c r="U87" s="467"/>
      <c r="V87" s="469"/>
      <c r="W87" s="456"/>
      <c r="X87" s="2">
        <v>32</v>
      </c>
    </row>
    <row r="88" spans="1:24" s="2" customFormat="1" x14ac:dyDescent="0.3">
      <c r="A88" s="391"/>
      <c r="B88" s="397"/>
      <c r="C88" s="397"/>
      <c r="D88" s="397"/>
      <c r="E88" s="397"/>
      <c r="F88" s="393"/>
      <c r="G88" s="473"/>
      <c r="H88" s="395"/>
      <c r="I88" s="405"/>
      <c r="J88" s="460"/>
      <c r="K88" s="463"/>
      <c r="L88" s="397"/>
      <c r="M88" s="397"/>
      <c r="N88" s="167">
        <v>45009</v>
      </c>
      <c r="O88" s="393"/>
      <c r="P88" s="168">
        <v>14950</v>
      </c>
      <c r="Q88" s="169">
        <v>45016</v>
      </c>
      <c r="R88" s="170"/>
      <c r="S88" s="168"/>
      <c r="T88" s="168"/>
      <c r="U88" s="395"/>
      <c r="V88" s="470"/>
      <c r="W88" s="401"/>
      <c r="X88" s="2">
        <v>32</v>
      </c>
    </row>
    <row r="89" spans="1:24" s="108" customFormat="1" ht="131.25" customHeight="1" x14ac:dyDescent="0.3">
      <c r="A89" s="390">
        <v>16</v>
      </c>
      <c r="B89" s="396" t="s">
        <v>56</v>
      </c>
      <c r="C89" s="396" t="s">
        <v>146</v>
      </c>
      <c r="D89" s="396" t="s">
        <v>147</v>
      </c>
      <c r="E89" s="396" t="s">
        <v>119</v>
      </c>
      <c r="F89" s="392">
        <v>44991</v>
      </c>
      <c r="G89" s="471" t="s">
        <v>237</v>
      </c>
      <c r="H89" s="394">
        <v>2600</v>
      </c>
      <c r="I89" s="404">
        <f>IF(X89 = 33, H89 + SUM(S89:S91) - SUM(T89:T91) - SUM(P89:P91) - V89,0)</f>
        <v>600</v>
      </c>
      <c r="J89" s="458">
        <v>2353020735</v>
      </c>
      <c r="K89" s="461" t="s">
        <v>157</v>
      </c>
      <c r="L89" s="396" t="s">
        <v>146</v>
      </c>
      <c r="M89" s="396"/>
      <c r="N89" s="163">
        <v>44985</v>
      </c>
      <c r="O89" s="392" t="s">
        <v>235</v>
      </c>
      <c r="P89" s="164">
        <v>575</v>
      </c>
      <c r="Q89" s="165">
        <v>44995</v>
      </c>
      <c r="R89" s="166"/>
      <c r="S89" s="164"/>
      <c r="T89" s="164"/>
      <c r="U89" s="394"/>
      <c r="V89" s="468"/>
      <c r="W89" s="400"/>
      <c r="X89" s="108">
        <v>33</v>
      </c>
    </row>
    <row r="90" spans="1:24" s="2" customFormat="1" x14ac:dyDescent="0.3">
      <c r="A90" s="465"/>
      <c r="B90" s="464"/>
      <c r="C90" s="464"/>
      <c r="D90" s="464"/>
      <c r="E90" s="464"/>
      <c r="F90" s="466"/>
      <c r="G90" s="472"/>
      <c r="H90" s="467"/>
      <c r="I90" s="457"/>
      <c r="J90" s="459"/>
      <c r="K90" s="462"/>
      <c r="L90" s="464"/>
      <c r="M90" s="464"/>
      <c r="N90" s="171">
        <v>44985</v>
      </c>
      <c r="O90" s="466"/>
      <c r="P90" s="172">
        <v>825</v>
      </c>
      <c r="Q90" s="173">
        <v>44999</v>
      </c>
      <c r="R90" s="174"/>
      <c r="S90" s="172"/>
      <c r="T90" s="172"/>
      <c r="U90" s="467"/>
      <c r="V90" s="469"/>
      <c r="W90" s="456"/>
      <c r="X90" s="2">
        <v>33</v>
      </c>
    </row>
    <row r="91" spans="1:24" s="2" customFormat="1" x14ac:dyDescent="0.3">
      <c r="A91" s="391"/>
      <c r="B91" s="397"/>
      <c r="C91" s="397"/>
      <c r="D91" s="397"/>
      <c r="E91" s="397"/>
      <c r="F91" s="393"/>
      <c r="G91" s="473"/>
      <c r="H91" s="395"/>
      <c r="I91" s="405"/>
      <c r="J91" s="460"/>
      <c r="K91" s="463"/>
      <c r="L91" s="397"/>
      <c r="M91" s="397"/>
      <c r="N91" s="167">
        <v>45009</v>
      </c>
      <c r="O91" s="393"/>
      <c r="P91" s="168">
        <v>600</v>
      </c>
      <c r="Q91" s="169">
        <v>45016</v>
      </c>
      <c r="R91" s="170"/>
      <c r="S91" s="168"/>
      <c r="T91" s="168"/>
      <c r="U91" s="395"/>
      <c r="V91" s="470"/>
      <c r="W91" s="401"/>
      <c r="X91" s="2">
        <v>33</v>
      </c>
    </row>
    <row r="92" spans="1:24" s="108" customFormat="1" ht="131.25" customHeight="1" x14ac:dyDescent="0.3">
      <c r="A92" s="324">
        <v>17</v>
      </c>
      <c r="B92" s="333" t="s">
        <v>56</v>
      </c>
      <c r="C92" s="333" t="s">
        <v>146</v>
      </c>
      <c r="D92" s="333" t="s">
        <v>147</v>
      </c>
      <c r="E92" s="333" t="s">
        <v>120</v>
      </c>
      <c r="F92" s="327">
        <v>44991</v>
      </c>
      <c r="G92" s="342" t="s">
        <v>237</v>
      </c>
      <c r="H92" s="330">
        <v>7895.68</v>
      </c>
      <c r="I92" s="345">
        <f>IF(X92 = 34, H92 + SUM(S92:S94) - SUM(T92:T94) - SUM(P92:P94) - V92,0)</f>
        <v>1822.08</v>
      </c>
      <c r="J92" s="417">
        <v>2353020735</v>
      </c>
      <c r="K92" s="419" t="s">
        <v>157</v>
      </c>
      <c r="L92" s="333" t="s">
        <v>146</v>
      </c>
      <c r="M92" s="333"/>
      <c r="N92" s="198">
        <v>44985</v>
      </c>
      <c r="O92" s="327" t="s">
        <v>235</v>
      </c>
      <c r="P92" s="189">
        <v>1746.16</v>
      </c>
      <c r="Q92" s="190">
        <v>45002</v>
      </c>
      <c r="R92" s="191"/>
      <c r="S92" s="189"/>
      <c r="T92" s="189"/>
      <c r="U92" s="330"/>
      <c r="V92" s="415"/>
      <c r="W92" s="339"/>
      <c r="X92" s="108">
        <v>34</v>
      </c>
    </row>
    <row r="93" spans="1:24" s="2" customFormat="1" x14ac:dyDescent="0.3">
      <c r="A93" s="325"/>
      <c r="B93" s="334"/>
      <c r="C93" s="334"/>
      <c r="D93" s="334"/>
      <c r="E93" s="334"/>
      <c r="F93" s="328"/>
      <c r="G93" s="343"/>
      <c r="H93" s="331"/>
      <c r="I93" s="346"/>
      <c r="J93" s="422"/>
      <c r="K93" s="423"/>
      <c r="L93" s="334"/>
      <c r="M93" s="334"/>
      <c r="N93" s="199">
        <v>44985</v>
      </c>
      <c r="O93" s="328"/>
      <c r="P93" s="192">
        <v>2505.36</v>
      </c>
      <c r="Q93" s="193">
        <v>45005</v>
      </c>
      <c r="R93" s="194"/>
      <c r="S93" s="192"/>
      <c r="T93" s="192"/>
      <c r="U93" s="331"/>
      <c r="V93" s="421"/>
      <c r="W93" s="340"/>
      <c r="X93" s="2">
        <v>34</v>
      </c>
    </row>
    <row r="94" spans="1:24" s="2" customFormat="1" x14ac:dyDescent="0.3">
      <c r="A94" s="326"/>
      <c r="B94" s="335"/>
      <c r="C94" s="335"/>
      <c r="D94" s="335"/>
      <c r="E94" s="335"/>
      <c r="F94" s="329"/>
      <c r="G94" s="344"/>
      <c r="H94" s="332"/>
      <c r="I94" s="347"/>
      <c r="J94" s="418"/>
      <c r="K94" s="420"/>
      <c r="L94" s="335"/>
      <c r="M94" s="335"/>
      <c r="N94" s="200">
        <v>45009</v>
      </c>
      <c r="O94" s="329"/>
      <c r="P94" s="195">
        <v>1822.08</v>
      </c>
      <c r="Q94" s="196">
        <v>45023</v>
      </c>
      <c r="R94" s="197"/>
      <c r="S94" s="195"/>
      <c r="T94" s="195"/>
      <c r="U94" s="332"/>
      <c r="V94" s="416"/>
      <c r="W94" s="341"/>
      <c r="X94" s="2">
        <v>34</v>
      </c>
    </row>
    <row r="95" spans="1:24" s="108" customFormat="1" ht="108" x14ac:dyDescent="0.3">
      <c r="A95" s="151">
        <v>18</v>
      </c>
      <c r="B95" s="152" t="s">
        <v>56</v>
      </c>
      <c r="C95" s="152" t="s">
        <v>146</v>
      </c>
      <c r="D95" s="152" t="s">
        <v>147</v>
      </c>
      <c r="E95" s="152" t="s">
        <v>247</v>
      </c>
      <c r="F95" s="162">
        <v>45005</v>
      </c>
      <c r="G95" s="153" t="s">
        <v>248</v>
      </c>
      <c r="H95" s="154">
        <v>13125</v>
      </c>
      <c r="I95" s="155">
        <f>IF(X95 = 35, H95 + SUM(S95:S95) - SUM(T95:T95) - SUM(P95:P95) - V95,0)</f>
        <v>0</v>
      </c>
      <c r="J95" s="158">
        <v>235002152355</v>
      </c>
      <c r="K95" s="159" t="s">
        <v>225</v>
      </c>
      <c r="L95" s="152" t="s">
        <v>146</v>
      </c>
      <c r="M95" s="152"/>
      <c r="N95" s="162">
        <v>45005</v>
      </c>
      <c r="O95" s="162" t="s">
        <v>235</v>
      </c>
      <c r="P95" s="154">
        <v>13125</v>
      </c>
      <c r="Q95" s="153">
        <v>45006</v>
      </c>
      <c r="R95" s="152"/>
      <c r="S95" s="154"/>
      <c r="T95" s="154"/>
      <c r="U95" s="154"/>
      <c r="V95" s="160"/>
      <c r="W95" s="157"/>
      <c r="X95" s="108">
        <v>35</v>
      </c>
    </row>
    <row r="96" spans="1:24" s="108" customFormat="1" ht="108" x14ac:dyDescent="0.3">
      <c r="A96" s="151">
        <v>19</v>
      </c>
      <c r="B96" s="152" t="s">
        <v>56</v>
      </c>
      <c r="C96" s="152" t="s">
        <v>146</v>
      </c>
      <c r="D96" s="152" t="s">
        <v>147</v>
      </c>
      <c r="E96" s="152" t="s">
        <v>126</v>
      </c>
      <c r="F96" s="162">
        <v>45001</v>
      </c>
      <c r="G96" s="153" t="s">
        <v>249</v>
      </c>
      <c r="H96" s="154">
        <v>4760</v>
      </c>
      <c r="I96" s="155">
        <f>IF(X96 = 36, H96 + SUM(S96:S96) - SUM(T96:T96) - SUM(P96:P96) - V96,0)</f>
        <v>0</v>
      </c>
      <c r="J96" s="158">
        <v>235002152355</v>
      </c>
      <c r="K96" s="159" t="s">
        <v>225</v>
      </c>
      <c r="L96" s="152" t="s">
        <v>146</v>
      </c>
      <c r="M96" s="152"/>
      <c r="N96" s="162">
        <v>45001</v>
      </c>
      <c r="O96" s="162" t="s">
        <v>235</v>
      </c>
      <c r="P96" s="154">
        <v>4760</v>
      </c>
      <c r="Q96" s="153">
        <v>45002</v>
      </c>
      <c r="R96" s="152"/>
      <c r="S96" s="154"/>
      <c r="T96" s="154"/>
      <c r="U96" s="154"/>
      <c r="V96" s="160"/>
      <c r="W96" s="157"/>
      <c r="X96" s="108">
        <v>36</v>
      </c>
    </row>
    <row r="97" spans="1:24" s="108" customFormat="1" ht="131.25" customHeight="1" x14ac:dyDescent="0.3">
      <c r="A97" s="324">
        <v>20</v>
      </c>
      <c r="B97" s="333" t="s">
        <v>56</v>
      </c>
      <c r="C97" s="333" t="s">
        <v>146</v>
      </c>
      <c r="D97" s="333" t="s">
        <v>147</v>
      </c>
      <c r="E97" s="333" t="s">
        <v>128</v>
      </c>
      <c r="F97" s="327">
        <v>45016</v>
      </c>
      <c r="G97" s="342" t="s">
        <v>265</v>
      </c>
      <c r="H97" s="330">
        <v>46464</v>
      </c>
      <c r="I97" s="345">
        <f>IF(X97 = 38, H97 + SUM(S97:S98) - SUM(T97:T98) - SUM(P97:P98) - V97,0)</f>
        <v>0</v>
      </c>
      <c r="J97" s="417">
        <v>2353020735</v>
      </c>
      <c r="K97" s="419" t="s">
        <v>157</v>
      </c>
      <c r="L97" s="333" t="s">
        <v>146</v>
      </c>
      <c r="M97" s="333"/>
      <c r="N97" s="198">
        <v>45023</v>
      </c>
      <c r="O97" s="327" t="s">
        <v>235</v>
      </c>
      <c r="P97" s="189">
        <v>43676.11</v>
      </c>
      <c r="Q97" s="190">
        <v>45033</v>
      </c>
      <c r="R97" s="191"/>
      <c r="S97" s="189"/>
      <c r="T97" s="189"/>
      <c r="U97" s="330"/>
      <c r="V97" s="415"/>
      <c r="W97" s="339"/>
      <c r="X97" s="108">
        <v>38</v>
      </c>
    </row>
    <row r="98" spans="1:24" s="2" customFormat="1" x14ac:dyDescent="0.3">
      <c r="A98" s="326"/>
      <c r="B98" s="335"/>
      <c r="C98" s="335"/>
      <c r="D98" s="335"/>
      <c r="E98" s="335"/>
      <c r="F98" s="329"/>
      <c r="G98" s="344"/>
      <c r="H98" s="332"/>
      <c r="I98" s="347"/>
      <c r="J98" s="418"/>
      <c r="K98" s="420"/>
      <c r="L98" s="335"/>
      <c r="M98" s="335"/>
      <c r="N98" s="200">
        <v>45023</v>
      </c>
      <c r="O98" s="329"/>
      <c r="P98" s="195">
        <v>2787.89</v>
      </c>
      <c r="Q98" s="196">
        <v>45033</v>
      </c>
      <c r="R98" s="197"/>
      <c r="S98" s="195"/>
      <c r="T98" s="195"/>
      <c r="U98" s="332"/>
      <c r="V98" s="416"/>
      <c r="W98" s="341"/>
      <c r="X98" s="2">
        <v>38</v>
      </c>
    </row>
    <row r="99" spans="1:24" s="108" customFormat="1" ht="108" x14ac:dyDescent="0.3">
      <c r="A99" s="178">
        <v>21</v>
      </c>
      <c r="B99" s="179" t="s">
        <v>56</v>
      </c>
      <c r="C99" s="179" t="s">
        <v>146</v>
      </c>
      <c r="D99" s="179" t="s">
        <v>147</v>
      </c>
      <c r="E99" s="179" t="s">
        <v>129</v>
      </c>
      <c r="F99" s="185">
        <v>45016</v>
      </c>
      <c r="G99" s="183" t="s">
        <v>265</v>
      </c>
      <c r="H99" s="181">
        <v>15000</v>
      </c>
      <c r="I99" s="182">
        <f>IF(X99 = 39, H99 + SUM(S99:S99) - SUM(T99:T99) - SUM(P99:P99) - V99,0)</f>
        <v>0</v>
      </c>
      <c r="J99" s="186">
        <v>2353020735</v>
      </c>
      <c r="K99" s="187" t="s">
        <v>157</v>
      </c>
      <c r="L99" s="179" t="s">
        <v>146</v>
      </c>
      <c r="M99" s="179"/>
      <c r="N99" s="185">
        <v>45023</v>
      </c>
      <c r="O99" s="185" t="s">
        <v>235</v>
      </c>
      <c r="P99" s="181">
        <v>15000</v>
      </c>
      <c r="Q99" s="183">
        <v>45033</v>
      </c>
      <c r="R99" s="179"/>
      <c r="S99" s="181"/>
      <c r="T99" s="181"/>
      <c r="U99" s="181"/>
      <c r="V99" s="188"/>
      <c r="W99" s="176"/>
      <c r="X99" s="108">
        <v>39</v>
      </c>
    </row>
    <row r="100" spans="1:24" s="108" customFormat="1" ht="108" x14ac:dyDescent="0.3">
      <c r="A100" s="178">
        <v>22</v>
      </c>
      <c r="B100" s="179" t="s">
        <v>56</v>
      </c>
      <c r="C100" s="179" t="s">
        <v>146</v>
      </c>
      <c r="D100" s="179" t="s">
        <v>147</v>
      </c>
      <c r="E100" s="179" t="s">
        <v>274</v>
      </c>
      <c r="F100" s="185">
        <v>45021</v>
      </c>
      <c r="G100" s="183" t="s">
        <v>224</v>
      </c>
      <c r="H100" s="181">
        <v>5700</v>
      </c>
      <c r="I100" s="182">
        <f>IF(X100 = 40, H100 + SUM(S100:S100) - SUM(T100:T100) - SUM(P100:P100) - V100,0)</f>
        <v>0</v>
      </c>
      <c r="J100" s="186">
        <v>235002152355</v>
      </c>
      <c r="K100" s="187" t="s">
        <v>225</v>
      </c>
      <c r="L100" s="179" t="s">
        <v>146</v>
      </c>
      <c r="M100" s="179"/>
      <c r="N100" s="185"/>
      <c r="O100" s="185" t="s">
        <v>181</v>
      </c>
      <c r="P100" s="181">
        <v>5700</v>
      </c>
      <c r="Q100" s="183">
        <v>45023</v>
      </c>
      <c r="R100" s="179"/>
      <c r="S100" s="181"/>
      <c r="T100" s="181"/>
      <c r="U100" s="181"/>
      <c r="V100" s="188"/>
      <c r="W100" s="176"/>
      <c r="X100" s="108">
        <v>40</v>
      </c>
    </row>
    <row r="101" spans="1:24" s="108" customFormat="1" ht="108" x14ac:dyDescent="0.3">
      <c r="A101" s="178">
        <v>23</v>
      </c>
      <c r="B101" s="179" t="s">
        <v>56</v>
      </c>
      <c r="C101" s="179" t="s">
        <v>146</v>
      </c>
      <c r="D101" s="179" t="s">
        <v>147</v>
      </c>
      <c r="E101" s="179" t="s">
        <v>275</v>
      </c>
      <c r="F101" s="185">
        <v>45022</v>
      </c>
      <c r="G101" s="183" t="s">
        <v>276</v>
      </c>
      <c r="H101" s="181">
        <v>169662.35</v>
      </c>
      <c r="I101" s="182">
        <f>IF(X101 = 41, H101 + SUM(S101:S101) - SUM(T101:T101) - SUM(P101:P101) - V101,0)</f>
        <v>169662.35</v>
      </c>
      <c r="J101" s="186">
        <v>7715995942</v>
      </c>
      <c r="K101" s="187" t="s">
        <v>277</v>
      </c>
      <c r="L101" s="179" t="s">
        <v>146</v>
      </c>
      <c r="M101" s="179"/>
      <c r="N101" s="185"/>
      <c r="O101" s="185" t="s">
        <v>235</v>
      </c>
      <c r="P101" s="181"/>
      <c r="Q101" s="183"/>
      <c r="R101" s="179"/>
      <c r="S101" s="181"/>
      <c r="T101" s="181"/>
      <c r="U101" s="181"/>
      <c r="V101" s="188"/>
      <c r="W101" s="176"/>
      <c r="X101" s="108">
        <v>41</v>
      </c>
    </row>
    <row r="102" spans="1:24" s="108" customFormat="1" ht="108" x14ac:dyDescent="0.3">
      <c r="A102" s="178">
        <v>24</v>
      </c>
      <c r="B102" s="179" t="s">
        <v>56</v>
      </c>
      <c r="C102" s="179" t="s">
        <v>146</v>
      </c>
      <c r="D102" s="179" t="s">
        <v>147</v>
      </c>
      <c r="E102" s="179" t="s">
        <v>290</v>
      </c>
      <c r="F102" s="185">
        <v>45034</v>
      </c>
      <c r="G102" s="183" t="s">
        <v>291</v>
      </c>
      <c r="H102" s="181">
        <v>2000</v>
      </c>
      <c r="I102" s="182">
        <f>IF(X102 = 42, H102 + SUM(S102:S102) - SUM(T102:T102) - SUM(P102:P102) - V102,0)</f>
        <v>0</v>
      </c>
      <c r="J102" s="186">
        <v>235305769122</v>
      </c>
      <c r="K102" s="187" t="s">
        <v>168</v>
      </c>
      <c r="L102" s="179" t="s">
        <v>146</v>
      </c>
      <c r="M102" s="179"/>
      <c r="N102" s="185"/>
      <c r="O102" s="185" t="s">
        <v>235</v>
      </c>
      <c r="P102" s="181">
        <v>2000</v>
      </c>
      <c r="Q102" s="183">
        <v>45044</v>
      </c>
      <c r="R102" s="179"/>
      <c r="S102" s="181"/>
      <c r="T102" s="181"/>
      <c r="U102" s="181"/>
      <c r="V102" s="188"/>
      <c r="W102" s="176"/>
      <c r="X102" s="108">
        <v>42</v>
      </c>
    </row>
    <row r="103" spans="1:24" s="108" customFormat="1" ht="108" x14ac:dyDescent="0.3">
      <c r="A103" s="178">
        <v>25</v>
      </c>
      <c r="B103" s="179" t="s">
        <v>56</v>
      </c>
      <c r="C103" s="179" t="s">
        <v>179</v>
      </c>
      <c r="D103" s="179" t="s">
        <v>147</v>
      </c>
      <c r="E103" s="179" t="s">
        <v>292</v>
      </c>
      <c r="F103" s="185">
        <v>45016</v>
      </c>
      <c r="G103" s="183" t="s">
        <v>293</v>
      </c>
      <c r="H103" s="181">
        <v>376000</v>
      </c>
      <c r="I103" s="182">
        <f>IF(X103 = 43, H103 + SUM(S103:S103) - SUM(T103:T103) - SUM(P103:P103) - V103,0)</f>
        <v>285760</v>
      </c>
      <c r="J103" s="186">
        <v>2312296269</v>
      </c>
      <c r="K103" s="187" t="s">
        <v>294</v>
      </c>
      <c r="L103" s="179" t="s">
        <v>146</v>
      </c>
      <c r="M103" s="179"/>
      <c r="N103" s="185">
        <v>45046</v>
      </c>
      <c r="O103" s="185" t="s">
        <v>181</v>
      </c>
      <c r="P103" s="181">
        <v>90240</v>
      </c>
      <c r="Q103" s="183">
        <v>45061</v>
      </c>
      <c r="R103" s="179"/>
      <c r="S103" s="181"/>
      <c r="T103" s="181"/>
      <c r="U103" s="181"/>
      <c r="V103" s="188"/>
      <c r="W103" s="176"/>
      <c r="X103" s="108">
        <v>43</v>
      </c>
    </row>
    <row r="104" spans="1:24" s="108" customFormat="1" ht="108" x14ac:dyDescent="0.3">
      <c r="A104" s="178">
        <v>26</v>
      </c>
      <c r="B104" s="179" t="s">
        <v>56</v>
      </c>
      <c r="C104" s="179" t="s">
        <v>146</v>
      </c>
      <c r="D104" s="179" t="s">
        <v>147</v>
      </c>
      <c r="E104" s="179" t="s">
        <v>298</v>
      </c>
      <c r="F104" s="185">
        <v>45049</v>
      </c>
      <c r="G104" s="183" t="s">
        <v>299</v>
      </c>
      <c r="H104" s="181">
        <v>5970</v>
      </c>
      <c r="I104" s="182">
        <f>IF(X104 = 44, H104 + SUM(S104:S104) - SUM(T104:T104) - SUM(P104:P104) - V104,0)</f>
        <v>0</v>
      </c>
      <c r="J104" s="186">
        <v>235002152355</v>
      </c>
      <c r="K104" s="187" t="s">
        <v>225</v>
      </c>
      <c r="L104" s="179" t="s">
        <v>146</v>
      </c>
      <c r="M104" s="179"/>
      <c r="N104" s="185"/>
      <c r="O104" s="185" t="s">
        <v>235</v>
      </c>
      <c r="P104" s="181">
        <v>5970</v>
      </c>
      <c r="Q104" s="183">
        <v>45061</v>
      </c>
      <c r="R104" s="179"/>
      <c r="S104" s="181"/>
      <c r="T104" s="181"/>
      <c r="U104" s="181"/>
      <c r="V104" s="188"/>
      <c r="W104" s="176"/>
      <c r="X104" s="108">
        <v>44</v>
      </c>
    </row>
    <row r="105" spans="1:24" s="108" customFormat="1" ht="108" x14ac:dyDescent="0.3">
      <c r="A105" s="212">
        <v>27</v>
      </c>
      <c r="B105" s="213" t="s">
        <v>56</v>
      </c>
      <c r="C105" s="213" t="s">
        <v>146</v>
      </c>
      <c r="D105" s="213" t="s">
        <v>147</v>
      </c>
      <c r="E105" s="213" t="s">
        <v>301</v>
      </c>
      <c r="F105" s="243">
        <v>45049</v>
      </c>
      <c r="G105" s="218" t="s">
        <v>299</v>
      </c>
      <c r="H105" s="215">
        <v>7350</v>
      </c>
      <c r="I105" s="216">
        <f>IF(X105 = 45, H105 + SUM(S105:S105) - SUM(T105:T105) - SUM(P105:P105) - V105,0)</f>
        <v>0</v>
      </c>
      <c r="J105" s="231">
        <v>235002152355</v>
      </c>
      <c r="K105" s="232" t="s">
        <v>225</v>
      </c>
      <c r="L105" s="213" t="s">
        <v>146</v>
      </c>
      <c r="M105" s="213" t="s">
        <v>300</v>
      </c>
      <c r="N105" s="243"/>
      <c r="O105" s="243" t="s">
        <v>235</v>
      </c>
      <c r="P105" s="215">
        <v>7350</v>
      </c>
      <c r="Q105" s="218">
        <v>45061</v>
      </c>
      <c r="R105" s="213"/>
      <c r="S105" s="215"/>
      <c r="T105" s="215"/>
      <c r="U105" s="215"/>
      <c r="V105" s="233"/>
      <c r="W105" s="211"/>
      <c r="X105" s="108">
        <v>45</v>
      </c>
    </row>
    <row r="106" spans="1:24" s="108" customFormat="1" ht="108" x14ac:dyDescent="0.3">
      <c r="A106" s="212">
        <v>28</v>
      </c>
      <c r="B106" s="213" t="s">
        <v>56</v>
      </c>
      <c r="C106" s="213" t="s">
        <v>146</v>
      </c>
      <c r="D106" s="213" t="s">
        <v>147</v>
      </c>
      <c r="E106" s="213" t="s">
        <v>130</v>
      </c>
      <c r="F106" s="243">
        <v>45019</v>
      </c>
      <c r="G106" s="218" t="s">
        <v>305</v>
      </c>
      <c r="H106" s="215">
        <v>1650</v>
      </c>
      <c r="I106" s="216">
        <f>IF(X106 = 46, H106 + SUM(S106:S106) - SUM(T106:T106) - SUM(P106:P106) - V106,0)</f>
        <v>925</v>
      </c>
      <c r="J106" s="231">
        <v>2353020735</v>
      </c>
      <c r="K106" s="232" t="s">
        <v>157</v>
      </c>
      <c r="L106" s="213" t="s">
        <v>146</v>
      </c>
      <c r="M106" s="213"/>
      <c r="N106" s="243"/>
      <c r="O106" s="243" t="s">
        <v>235</v>
      </c>
      <c r="P106" s="215">
        <v>725</v>
      </c>
      <c r="Q106" s="218">
        <v>45063</v>
      </c>
      <c r="R106" s="213"/>
      <c r="S106" s="215"/>
      <c r="T106" s="215"/>
      <c r="U106" s="215"/>
      <c r="V106" s="233"/>
      <c r="W106" s="211"/>
      <c r="X106" s="108">
        <v>46</v>
      </c>
    </row>
    <row r="107" spans="1:24" s="108" customFormat="1" ht="108" x14ac:dyDescent="0.3">
      <c r="A107" s="212">
        <v>29</v>
      </c>
      <c r="B107" s="213" t="s">
        <v>56</v>
      </c>
      <c r="C107" s="213" t="s">
        <v>146</v>
      </c>
      <c r="D107" s="213" t="s">
        <v>147</v>
      </c>
      <c r="E107" s="213" t="s">
        <v>131</v>
      </c>
      <c r="F107" s="243">
        <v>45019</v>
      </c>
      <c r="G107" s="218" t="s">
        <v>306</v>
      </c>
      <c r="H107" s="215">
        <v>5111.04</v>
      </c>
      <c r="I107" s="216">
        <f>IF(X107 = 47, H107 + SUM(S107:S107) - SUM(T107:T107) - SUM(P107:P107) - V107,0)</f>
        <v>2909.36</v>
      </c>
      <c r="J107" s="231">
        <v>2353020735</v>
      </c>
      <c r="K107" s="232" t="s">
        <v>157</v>
      </c>
      <c r="L107" s="213" t="s">
        <v>146</v>
      </c>
      <c r="M107" s="213"/>
      <c r="N107" s="243"/>
      <c r="O107" s="243" t="s">
        <v>181</v>
      </c>
      <c r="P107" s="215">
        <v>2201.6799999999998</v>
      </c>
      <c r="Q107" s="218">
        <v>45063</v>
      </c>
      <c r="R107" s="213"/>
      <c r="S107" s="215"/>
      <c r="T107" s="215"/>
      <c r="U107" s="215"/>
      <c r="V107" s="233"/>
      <c r="W107" s="211"/>
      <c r="X107" s="108">
        <v>47</v>
      </c>
    </row>
    <row r="108" spans="1:24" x14ac:dyDescent="0.3">
      <c r="B108" s="110"/>
      <c r="X108" s="8">
        <v>48</v>
      </c>
    </row>
    <row r="109" spans="1:24" x14ac:dyDescent="0.3">
      <c r="B109" s="110"/>
    </row>
    <row r="110" spans="1:24" x14ac:dyDescent="0.3">
      <c r="B110" s="110"/>
    </row>
    <row r="111" spans="1:24" x14ac:dyDescent="0.3">
      <c r="B111" s="110"/>
      <c r="E111" s="45"/>
    </row>
  </sheetData>
  <sheetProtection password="EB34" sheet="1" objects="1" scenarios="1" formatCells="0" formatColumns="0" formatRows="0"/>
  <mergeCells count="275">
    <mergeCell ref="V92:V94"/>
    <mergeCell ref="C92:C94"/>
    <mergeCell ref="W92:W94"/>
    <mergeCell ref="E89:E91"/>
    <mergeCell ref="F89:F91"/>
    <mergeCell ref="G89:G91"/>
    <mergeCell ref="H89:H91"/>
    <mergeCell ref="I89:I91"/>
    <mergeCell ref="A92:A94"/>
    <mergeCell ref="O92:O94"/>
    <mergeCell ref="U92:U94"/>
    <mergeCell ref="B92:B94"/>
    <mergeCell ref="A86:A88"/>
    <mergeCell ref="O86:O88"/>
    <mergeCell ref="U86:U88"/>
    <mergeCell ref="B86:B88"/>
    <mergeCell ref="V86:V88"/>
    <mergeCell ref="C86:C88"/>
    <mergeCell ref="W89:W91"/>
    <mergeCell ref="M86:M88"/>
    <mergeCell ref="D86:D88"/>
    <mergeCell ref="E86:E88"/>
    <mergeCell ref="F86:F88"/>
    <mergeCell ref="G86:G88"/>
    <mergeCell ref="H86:H88"/>
    <mergeCell ref="J89:J91"/>
    <mergeCell ref="K89:K91"/>
    <mergeCell ref="L89:L91"/>
    <mergeCell ref="A89:A91"/>
    <mergeCell ref="O89:O91"/>
    <mergeCell ref="U89:U91"/>
    <mergeCell ref="B89:B91"/>
    <mergeCell ref="V89:V91"/>
    <mergeCell ref="C89:C91"/>
    <mergeCell ref="M89:M91"/>
    <mergeCell ref="D89:D91"/>
    <mergeCell ref="J86:J88"/>
    <mergeCell ref="K86:K88"/>
    <mergeCell ref="L86:L88"/>
    <mergeCell ref="W63:W66"/>
    <mergeCell ref="D63:D66"/>
    <mergeCell ref="E63:E66"/>
    <mergeCell ref="F63:F66"/>
    <mergeCell ref="G63:G66"/>
    <mergeCell ref="H63:H66"/>
    <mergeCell ref="V42:V46"/>
    <mergeCell ref="C42:C46"/>
    <mergeCell ref="W42:W46"/>
    <mergeCell ref="D42:D46"/>
    <mergeCell ref="E42:E46"/>
    <mergeCell ref="F42:F46"/>
    <mergeCell ref="G42:G46"/>
    <mergeCell ref="H42:H46"/>
    <mergeCell ref="I42:I46"/>
    <mergeCell ref="J42:J46"/>
    <mergeCell ref="K42:K46"/>
    <mergeCell ref="L42:L46"/>
    <mergeCell ref="M42:M46"/>
    <mergeCell ref="S2:U2"/>
    <mergeCell ref="F2:G2"/>
    <mergeCell ref="N2:O2"/>
    <mergeCell ref="U32:U41"/>
    <mergeCell ref="B32:B41"/>
    <mergeCell ref="V32:V41"/>
    <mergeCell ref="C32:C41"/>
    <mergeCell ref="W32:W41"/>
    <mergeCell ref="D32:D41"/>
    <mergeCell ref="E32:E41"/>
    <mergeCell ref="F32:F41"/>
    <mergeCell ref="G32:G41"/>
    <mergeCell ref="H32:H41"/>
    <mergeCell ref="I32:I41"/>
    <mergeCell ref="J32:J41"/>
    <mergeCell ref="K32:K41"/>
    <mergeCell ref="L32:L41"/>
    <mergeCell ref="M32:M41"/>
    <mergeCell ref="D12:D16"/>
    <mergeCell ref="A56:A59"/>
    <mergeCell ref="O56:O59"/>
    <mergeCell ref="U56:U59"/>
    <mergeCell ref="B56:B59"/>
    <mergeCell ref="V56:V59"/>
    <mergeCell ref="C56:C59"/>
    <mergeCell ref="W56:W59"/>
    <mergeCell ref="D56:D59"/>
    <mergeCell ref="E56:E59"/>
    <mergeCell ref="F56:F59"/>
    <mergeCell ref="G56:G59"/>
    <mergeCell ref="H56:H59"/>
    <mergeCell ref="I56:I59"/>
    <mergeCell ref="J56:J59"/>
    <mergeCell ref="K56:K59"/>
    <mergeCell ref="L56:L59"/>
    <mergeCell ref="M56:M59"/>
    <mergeCell ref="A42:A46"/>
    <mergeCell ref="O42:O46"/>
    <mergeCell ref="U42:U46"/>
    <mergeCell ref="B42:B46"/>
    <mergeCell ref="A32:A41"/>
    <mergeCell ref="O32:O41"/>
    <mergeCell ref="A60:A62"/>
    <mergeCell ref="O60:O62"/>
    <mergeCell ref="U60:U62"/>
    <mergeCell ref="B60:B62"/>
    <mergeCell ref="V60:V62"/>
    <mergeCell ref="C60:C62"/>
    <mergeCell ref="W60:W62"/>
    <mergeCell ref="D60:D62"/>
    <mergeCell ref="E60:E62"/>
    <mergeCell ref="F60:F62"/>
    <mergeCell ref="G60:G62"/>
    <mergeCell ref="H60:H62"/>
    <mergeCell ref="I60:I62"/>
    <mergeCell ref="J60:J62"/>
    <mergeCell ref="K60:K62"/>
    <mergeCell ref="L60:L62"/>
    <mergeCell ref="M60:M62"/>
    <mergeCell ref="W80:W85"/>
    <mergeCell ref="M63:M66"/>
    <mergeCell ref="M92:M94"/>
    <mergeCell ref="A63:A66"/>
    <mergeCell ref="O63:O66"/>
    <mergeCell ref="U63:U66"/>
    <mergeCell ref="B63:B66"/>
    <mergeCell ref="V63:V66"/>
    <mergeCell ref="C63:C66"/>
    <mergeCell ref="D92:D94"/>
    <mergeCell ref="E92:E94"/>
    <mergeCell ref="F92:F94"/>
    <mergeCell ref="G92:G94"/>
    <mergeCell ref="H92:H94"/>
    <mergeCell ref="I92:I94"/>
    <mergeCell ref="J92:J94"/>
    <mergeCell ref="K92:K94"/>
    <mergeCell ref="L92:L94"/>
    <mergeCell ref="I63:I66"/>
    <mergeCell ref="J63:J66"/>
    <mergeCell ref="K63:K66"/>
    <mergeCell ref="L63:L66"/>
    <mergeCell ref="W86:W88"/>
    <mergeCell ref="I86:I88"/>
    <mergeCell ref="J80:J85"/>
    <mergeCell ref="K80:K85"/>
    <mergeCell ref="L80:L85"/>
    <mergeCell ref="A80:A85"/>
    <mergeCell ref="O80:O85"/>
    <mergeCell ref="U80:U85"/>
    <mergeCell ref="B80:B85"/>
    <mergeCell ref="V80:V85"/>
    <mergeCell ref="C80:C85"/>
    <mergeCell ref="M80:M85"/>
    <mergeCell ref="D80:D85"/>
    <mergeCell ref="E80:E85"/>
    <mergeCell ref="F80:F85"/>
    <mergeCell ref="G80:G85"/>
    <mergeCell ref="H80:H85"/>
    <mergeCell ref="I80:I85"/>
    <mergeCell ref="A9:A11"/>
    <mergeCell ref="O9:O11"/>
    <mergeCell ref="U9:U11"/>
    <mergeCell ref="B9:B11"/>
    <mergeCell ref="V9:V11"/>
    <mergeCell ref="C9:C11"/>
    <mergeCell ref="W9:W11"/>
    <mergeCell ref="D9:D11"/>
    <mergeCell ref="E9:E11"/>
    <mergeCell ref="F9:F11"/>
    <mergeCell ref="G9:G11"/>
    <mergeCell ref="H9:H11"/>
    <mergeCell ref="I9:I11"/>
    <mergeCell ref="J9:J11"/>
    <mergeCell ref="K9:K11"/>
    <mergeCell ref="L9:L11"/>
    <mergeCell ref="M9:M11"/>
    <mergeCell ref="A97:A98"/>
    <mergeCell ref="O97:O98"/>
    <mergeCell ref="U97:U98"/>
    <mergeCell ref="B97:B98"/>
    <mergeCell ref="V97:V98"/>
    <mergeCell ref="C97:C98"/>
    <mergeCell ref="W97:W98"/>
    <mergeCell ref="D97:D98"/>
    <mergeCell ref="E97:E98"/>
    <mergeCell ref="F97:F98"/>
    <mergeCell ref="G97:G98"/>
    <mergeCell ref="H97:H98"/>
    <mergeCell ref="I97:I98"/>
    <mergeCell ref="J97:J98"/>
    <mergeCell ref="K97:K98"/>
    <mergeCell ref="L97:L98"/>
    <mergeCell ref="M97:M98"/>
    <mergeCell ref="A12:A16"/>
    <mergeCell ref="O12:O16"/>
    <mergeCell ref="U12:U16"/>
    <mergeCell ref="B12:B16"/>
    <mergeCell ref="V12:V16"/>
    <mergeCell ref="C12:C16"/>
    <mergeCell ref="W12:W16"/>
    <mergeCell ref="A17:A27"/>
    <mergeCell ref="O17:O27"/>
    <mergeCell ref="U17:U27"/>
    <mergeCell ref="B17:B27"/>
    <mergeCell ref="V17:V27"/>
    <mergeCell ref="C17:C27"/>
    <mergeCell ref="W17:W27"/>
    <mergeCell ref="D17:D27"/>
    <mergeCell ref="E17:E27"/>
    <mergeCell ref="F17:F27"/>
    <mergeCell ref="G17:G27"/>
    <mergeCell ref="H17:H27"/>
    <mergeCell ref="I17:I27"/>
    <mergeCell ref="J17:J27"/>
    <mergeCell ref="K17:K27"/>
    <mergeCell ref="L17:L27"/>
    <mergeCell ref="M17:M27"/>
    <mergeCell ref="E12:E16"/>
    <mergeCell ref="F12:F16"/>
    <mergeCell ref="G12:G16"/>
    <mergeCell ref="H12:H16"/>
    <mergeCell ref="I12:I16"/>
    <mergeCell ref="J12:J16"/>
    <mergeCell ref="K12:K16"/>
    <mergeCell ref="L12:L16"/>
    <mergeCell ref="M12:M16"/>
    <mergeCell ref="A28:A31"/>
    <mergeCell ref="O28:O31"/>
    <mergeCell ref="U28:U31"/>
    <mergeCell ref="B28:B31"/>
    <mergeCell ref="V28:V31"/>
    <mergeCell ref="C28:C31"/>
    <mergeCell ref="W28:W31"/>
    <mergeCell ref="D28:D31"/>
    <mergeCell ref="E28:E31"/>
    <mergeCell ref="F28:F31"/>
    <mergeCell ref="G28:G31"/>
    <mergeCell ref="H28:H31"/>
    <mergeCell ref="I28:I31"/>
    <mergeCell ref="J28:J31"/>
    <mergeCell ref="K28:K31"/>
    <mergeCell ref="L28:L31"/>
    <mergeCell ref="M28:M31"/>
    <mergeCell ref="A48:A55"/>
    <mergeCell ref="O48:O55"/>
    <mergeCell ref="U48:U55"/>
    <mergeCell ref="B48:B55"/>
    <mergeCell ref="V48:V55"/>
    <mergeCell ref="C48:C55"/>
    <mergeCell ref="W48:W55"/>
    <mergeCell ref="D48:D55"/>
    <mergeCell ref="E48:E55"/>
    <mergeCell ref="F48:F55"/>
    <mergeCell ref="G48:G55"/>
    <mergeCell ref="H48:H55"/>
    <mergeCell ref="I48:I55"/>
    <mergeCell ref="J48:J55"/>
    <mergeCell ref="K48:K55"/>
    <mergeCell ref="L48:L55"/>
    <mergeCell ref="M48:M55"/>
    <mergeCell ref="A67:A78"/>
    <mergeCell ref="O67:O78"/>
    <mergeCell ref="U67:U78"/>
    <mergeCell ref="B67:B78"/>
    <mergeCell ref="V67:V78"/>
    <mergeCell ref="C67:C78"/>
    <mergeCell ref="W67:W78"/>
    <mergeCell ref="D67:D78"/>
    <mergeCell ref="E67:E78"/>
    <mergeCell ref="F67:F78"/>
    <mergeCell ref="G67:G78"/>
    <mergeCell ref="H67:H78"/>
    <mergeCell ref="I67:I78"/>
    <mergeCell ref="J67:J78"/>
    <mergeCell ref="K67:K78"/>
    <mergeCell ref="L67:L78"/>
    <mergeCell ref="M67:M78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00B050"/>
  </sheetPr>
  <dimension ref="A1:V16"/>
  <sheetViews>
    <sheetView showGridLines="0" topLeftCell="E1" zoomScale="50" zoomScaleNormal="50" workbookViewId="0">
      <pane ySplit="8" topLeftCell="A9" activePane="bottomLeft" state="frozen"/>
      <selection pane="bottomLeft" activeCell="G9" sqref="G9:G15"/>
    </sheetView>
  </sheetViews>
  <sheetFormatPr defaultColWidth="0" defaultRowHeight="18" x14ac:dyDescent="0.3"/>
  <cols>
    <col min="1" max="1" width="14" style="3" customWidth="1"/>
    <col min="2" max="2" width="25.44140625" style="3" customWidth="1"/>
    <col min="3" max="3" width="39.5546875" style="3" bestFit="1" customWidth="1"/>
    <col min="4" max="4" width="23.88671875" style="3" customWidth="1"/>
    <col min="5" max="5" width="32.44140625" style="3" customWidth="1"/>
    <col min="6" max="6" width="27.44140625" style="12" customWidth="1"/>
    <col min="7" max="7" width="27.44140625" style="3" customWidth="1"/>
    <col min="8" max="8" width="33" style="3" customWidth="1"/>
    <col min="9" max="10" width="27.33203125" style="11" customWidth="1"/>
    <col min="11" max="11" width="26.5546875" style="3" customWidth="1"/>
    <col min="12" max="12" width="38.44140625" style="12" customWidth="1"/>
    <col min="13" max="13" width="37.5546875" style="3" customWidth="1"/>
    <col min="14" max="14" width="24.6640625" style="11" customWidth="1"/>
    <col min="15" max="15" width="24.44140625" style="12" customWidth="1"/>
    <col min="16" max="16" width="24.33203125" style="12" customWidth="1"/>
    <col min="17" max="17" width="27.44140625" style="12" customWidth="1"/>
    <col min="18" max="18" width="27.109375" style="12" customWidth="1"/>
    <col min="19" max="19" width="23.44140625" style="12" customWidth="1"/>
    <col min="20" max="20" width="22.88671875" style="11" customWidth="1"/>
    <col min="21" max="21" width="21.88671875" style="8" customWidth="1"/>
    <col min="22" max="16384" width="9.109375" style="8" hidden="1"/>
  </cols>
  <sheetData>
    <row r="1" spans="1:22" ht="18.600000000000001" thickBot="1" x14ac:dyDescent="0.35"/>
    <row r="2" spans="1:22" ht="39.9" customHeight="1" thickBot="1" x14ac:dyDescent="0.35">
      <c r="B2" s="86"/>
      <c r="C2" s="86"/>
      <c r="D2" s="86"/>
      <c r="E2" s="436" t="s">
        <v>24</v>
      </c>
      <c r="F2" s="437"/>
      <c r="G2" s="98">
        <f>SUM(G9:G9999)</f>
        <v>772340.78</v>
      </c>
      <c r="L2" s="489" t="s">
        <v>137</v>
      </c>
      <c r="M2" s="490"/>
      <c r="N2" s="87">
        <f>SUM(N9:N9999)</f>
        <v>813409.12</v>
      </c>
      <c r="P2" s="86"/>
      <c r="Q2" s="375" t="s">
        <v>45</v>
      </c>
      <c r="R2" s="376"/>
      <c r="S2" s="377"/>
      <c r="T2" s="88">
        <f>SUM(T9:T9999)</f>
        <v>0</v>
      </c>
    </row>
    <row r="3" spans="1:22" x14ac:dyDescent="0.3">
      <c r="E3" s="38"/>
      <c r="F3" s="38"/>
      <c r="G3" s="38"/>
      <c r="H3" s="38"/>
      <c r="I3" s="43"/>
      <c r="J3" s="44"/>
      <c r="K3" s="41"/>
      <c r="L3" s="38"/>
      <c r="M3" s="38"/>
      <c r="N3" s="43"/>
      <c r="O3" s="42"/>
      <c r="P3" s="38"/>
      <c r="Q3" s="38"/>
      <c r="R3" s="38"/>
      <c r="S3" s="38"/>
      <c r="T3" s="43"/>
    </row>
    <row r="4" spans="1:22" ht="39.9" customHeight="1" x14ac:dyDescent="0.3">
      <c r="E4" s="38"/>
      <c r="F4" s="38"/>
      <c r="G4" s="38"/>
      <c r="H4" s="38"/>
      <c r="I4" s="43"/>
      <c r="J4" s="44"/>
      <c r="K4" s="41"/>
      <c r="L4" s="38"/>
      <c r="M4" s="38"/>
      <c r="N4" s="43"/>
      <c r="O4" s="42"/>
      <c r="P4" s="38"/>
      <c r="Q4" s="38"/>
      <c r="R4" s="38"/>
      <c r="S4" s="38"/>
      <c r="T4" s="43"/>
    </row>
    <row r="6" spans="1:22" ht="144" x14ac:dyDescent="0.3">
      <c r="A6" s="28" t="s">
        <v>8</v>
      </c>
      <c r="B6" s="28" t="s">
        <v>21</v>
      </c>
      <c r="C6" s="28" t="s">
        <v>10</v>
      </c>
      <c r="D6" s="28" t="s">
        <v>15</v>
      </c>
      <c r="E6" s="28" t="s">
        <v>0</v>
      </c>
      <c r="F6" s="27" t="s">
        <v>3</v>
      </c>
      <c r="G6" s="28" t="s">
        <v>38</v>
      </c>
      <c r="H6" s="28" t="s">
        <v>22</v>
      </c>
      <c r="I6" s="89" t="s">
        <v>46</v>
      </c>
      <c r="J6" s="89" t="s">
        <v>5</v>
      </c>
      <c r="K6" s="28" t="s">
        <v>39</v>
      </c>
      <c r="L6" s="27" t="s">
        <v>37</v>
      </c>
      <c r="M6" s="28" t="s">
        <v>6</v>
      </c>
      <c r="N6" s="89" t="s">
        <v>23</v>
      </c>
      <c r="O6" s="27" t="s">
        <v>9</v>
      </c>
      <c r="P6" s="27" t="s">
        <v>40</v>
      </c>
      <c r="Q6" s="27" t="s">
        <v>103</v>
      </c>
      <c r="R6" s="27" t="s">
        <v>104</v>
      </c>
      <c r="S6" s="27" t="s">
        <v>41</v>
      </c>
      <c r="T6" s="89" t="s">
        <v>43</v>
      </c>
      <c r="U6" s="17" t="s">
        <v>42</v>
      </c>
    </row>
    <row r="7" spans="1:22" x14ac:dyDescent="0.3">
      <c r="A7" s="78" t="s">
        <v>36</v>
      </c>
      <c r="B7" s="78" t="s">
        <v>110</v>
      </c>
      <c r="C7" s="78" t="s">
        <v>111</v>
      </c>
      <c r="D7" s="78" t="s">
        <v>112</v>
      </c>
      <c r="E7" s="78" t="s">
        <v>113</v>
      </c>
      <c r="F7" s="78" t="s">
        <v>114</v>
      </c>
      <c r="G7" s="78" t="s">
        <v>115</v>
      </c>
      <c r="H7" s="78" t="s">
        <v>116</v>
      </c>
      <c r="I7" s="78" t="s">
        <v>117</v>
      </c>
      <c r="J7" s="78" t="s">
        <v>118</v>
      </c>
      <c r="K7" s="78" t="s">
        <v>119</v>
      </c>
      <c r="L7" s="78" t="s">
        <v>120</v>
      </c>
      <c r="M7" s="78" t="s">
        <v>121</v>
      </c>
      <c r="N7" s="78" t="s">
        <v>122</v>
      </c>
      <c r="O7" s="78" t="s">
        <v>123</v>
      </c>
      <c r="P7" s="78" t="s">
        <v>124</v>
      </c>
      <c r="Q7" s="78" t="s">
        <v>125</v>
      </c>
      <c r="R7" s="78" t="s">
        <v>126</v>
      </c>
      <c r="S7" s="78" t="s">
        <v>127</v>
      </c>
      <c r="T7" s="78" t="s">
        <v>128</v>
      </c>
      <c r="U7" s="78" t="s">
        <v>129</v>
      </c>
    </row>
    <row r="8" spans="1:22" s="18" customFormat="1" ht="108" x14ac:dyDescent="0.3">
      <c r="A8" s="90" t="s">
        <v>36</v>
      </c>
      <c r="B8" s="90" t="s">
        <v>67</v>
      </c>
      <c r="C8" s="90" t="s">
        <v>66</v>
      </c>
      <c r="D8" s="90" t="s">
        <v>48</v>
      </c>
      <c r="E8" s="95">
        <v>43823</v>
      </c>
      <c r="F8" s="91" t="s">
        <v>65</v>
      </c>
      <c r="G8" s="92">
        <v>100000</v>
      </c>
      <c r="H8" s="92">
        <v>90000</v>
      </c>
      <c r="I8" s="96">
        <v>2308091759</v>
      </c>
      <c r="J8" s="90" t="s">
        <v>68</v>
      </c>
      <c r="K8" s="90" t="s">
        <v>69</v>
      </c>
      <c r="L8" s="91">
        <v>43801</v>
      </c>
      <c r="M8" s="90" t="s">
        <v>70</v>
      </c>
      <c r="N8" s="92">
        <v>10000</v>
      </c>
      <c r="O8" s="91">
        <v>43489</v>
      </c>
      <c r="P8" s="91"/>
      <c r="Q8" s="91"/>
      <c r="R8" s="91"/>
      <c r="S8" s="91"/>
      <c r="T8" s="92"/>
      <c r="U8" s="93" t="s">
        <v>64</v>
      </c>
    </row>
    <row r="9" spans="1:22" s="108" customFormat="1" ht="37.5" customHeight="1" x14ac:dyDescent="0.3">
      <c r="A9" s="491">
        <v>1</v>
      </c>
      <c r="B9" s="477"/>
      <c r="C9" s="477" t="s">
        <v>188</v>
      </c>
      <c r="D9" s="477" t="s">
        <v>153</v>
      </c>
      <c r="E9" s="494">
        <v>44951</v>
      </c>
      <c r="F9" s="497" t="s">
        <v>154</v>
      </c>
      <c r="G9" s="474">
        <v>772340.78</v>
      </c>
      <c r="H9" s="483">
        <f>IF(V9 = 1, G9 + SUM(Q9:Q15) - SUM(R9:R15) - SUM(N9:N15) - T9,0)</f>
        <v>-41068.339999999967</v>
      </c>
      <c r="I9" s="486">
        <v>2312054894</v>
      </c>
      <c r="J9" s="477" t="s">
        <v>155</v>
      </c>
      <c r="K9" s="477" t="s">
        <v>156</v>
      </c>
      <c r="L9" s="207">
        <v>44227</v>
      </c>
      <c r="M9" s="477" t="s">
        <v>152</v>
      </c>
      <c r="N9" s="201">
        <v>274502.33</v>
      </c>
      <c r="O9" s="207">
        <v>44986</v>
      </c>
      <c r="P9" s="202"/>
      <c r="Q9" s="201"/>
      <c r="R9" s="201"/>
      <c r="S9" s="497"/>
      <c r="T9" s="474"/>
      <c r="U9" s="480"/>
      <c r="V9" s="108">
        <v>1</v>
      </c>
    </row>
    <row r="10" spans="1:22" s="2" customFormat="1" x14ac:dyDescent="0.3">
      <c r="A10" s="492"/>
      <c r="B10" s="478"/>
      <c r="C10" s="478"/>
      <c r="D10" s="478"/>
      <c r="E10" s="495"/>
      <c r="F10" s="498"/>
      <c r="G10" s="475"/>
      <c r="H10" s="484"/>
      <c r="I10" s="487"/>
      <c r="J10" s="478"/>
      <c r="K10" s="478"/>
      <c r="L10" s="208">
        <v>44957</v>
      </c>
      <c r="M10" s="478"/>
      <c r="N10" s="203">
        <v>60000</v>
      </c>
      <c r="O10" s="208">
        <v>44988</v>
      </c>
      <c r="P10" s="204"/>
      <c r="Q10" s="203"/>
      <c r="R10" s="203"/>
      <c r="S10" s="498"/>
      <c r="T10" s="475"/>
      <c r="U10" s="481"/>
      <c r="V10" s="2">
        <v>1</v>
      </c>
    </row>
    <row r="11" spans="1:22" s="2" customFormat="1" x14ac:dyDescent="0.3">
      <c r="A11" s="492"/>
      <c r="B11" s="478"/>
      <c r="C11" s="478"/>
      <c r="D11" s="478"/>
      <c r="E11" s="495"/>
      <c r="F11" s="498"/>
      <c r="G11" s="475"/>
      <c r="H11" s="484"/>
      <c r="I11" s="487"/>
      <c r="J11" s="478"/>
      <c r="K11" s="478"/>
      <c r="L11" s="208">
        <v>44985</v>
      </c>
      <c r="M11" s="478"/>
      <c r="N11" s="203">
        <v>180000</v>
      </c>
      <c r="O11" s="208">
        <v>45008</v>
      </c>
      <c r="P11" s="204"/>
      <c r="Q11" s="203"/>
      <c r="R11" s="203"/>
      <c r="S11" s="498"/>
      <c r="T11" s="475"/>
      <c r="U11" s="481"/>
      <c r="V11" s="2">
        <v>1</v>
      </c>
    </row>
    <row r="12" spans="1:22" s="2" customFormat="1" x14ac:dyDescent="0.3">
      <c r="A12" s="492"/>
      <c r="B12" s="478"/>
      <c r="C12" s="478"/>
      <c r="D12" s="478"/>
      <c r="E12" s="495"/>
      <c r="F12" s="498"/>
      <c r="G12" s="475"/>
      <c r="H12" s="484"/>
      <c r="I12" s="487"/>
      <c r="J12" s="478"/>
      <c r="K12" s="478"/>
      <c r="L12" s="208">
        <v>44985</v>
      </c>
      <c r="M12" s="478"/>
      <c r="N12" s="203">
        <v>24143.63</v>
      </c>
      <c r="O12" s="208">
        <v>45013</v>
      </c>
      <c r="P12" s="204"/>
      <c r="Q12" s="203"/>
      <c r="R12" s="203"/>
      <c r="S12" s="498"/>
      <c r="T12" s="475"/>
      <c r="U12" s="481"/>
      <c r="V12" s="2">
        <v>1</v>
      </c>
    </row>
    <row r="13" spans="1:22" s="2" customFormat="1" x14ac:dyDescent="0.3">
      <c r="A13" s="492"/>
      <c r="B13" s="478"/>
      <c r="C13" s="478"/>
      <c r="D13" s="478"/>
      <c r="E13" s="495"/>
      <c r="F13" s="498"/>
      <c r="G13" s="475"/>
      <c r="H13" s="484"/>
      <c r="I13" s="487"/>
      <c r="J13" s="478"/>
      <c r="K13" s="478"/>
      <c r="L13" s="208">
        <v>44985</v>
      </c>
      <c r="M13" s="478"/>
      <c r="N13" s="203">
        <v>65000</v>
      </c>
      <c r="O13" s="208">
        <v>45022</v>
      </c>
      <c r="P13" s="204"/>
      <c r="Q13" s="203"/>
      <c r="R13" s="203"/>
      <c r="S13" s="498"/>
      <c r="T13" s="475"/>
      <c r="U13" s="481"/>
      <c r="V13" s="2">
        <v>1</v>
      </c>
    </row>
    <row r="14" spans="1:22" s="2" customFormat="1" x14ac:dyDescent="0.3">
      <c r="A14" s="492"/>
      <c r="B14" s="478"/>
      <c r="C14" s="478"/>
      <c r="D14" s="478"/>
      <c r="E14" s="495"/>
      <c r="F14" s="498"/>
      <c r="G14" s="475"/>
      <c r="H14" s="484"/>
      <c r="I14" s="487"/>
      <c r="J14" s="478"/>
      <c r="K14" s="478"/>
      <c r="L14" s="208">
        <v>45016</v>
      </c>
      <c r="M14" s="478"/>
      <c r="N14" s="203">
        <v>130032.9</v>
      </c>
      <c r="O14" s="208">
        <v>45037</v>
      </c>
      <c r="P14" s="204"/>
      <c r="Q14" s="203"/>
      <c r="R14" s="203"/>
      <c r="S14" s="498"/>
      <c r="T14" s="475"/>
      <c r="U14" s="481"/>
      <c r="V14" s="2">
        <v>1</v>
      </c>
    </row>
    <row r="15" spans="1:22" s="2" customFormat="1" x14ac:dyDescent="0.3">
      <c r="A15" s="493"/>
      <c r="B15" s="479"/>
      <c r="C15" s="479"/>
      <c r="D15" s="479"/>
      <c r="E15" s="496"/>
      <c r="F15" s="499"/>
      <c r="G15" s="476"/>
      <c r="H15" s="485"/>
      <c r="I15" s="488"/>
      <c r="J15" s="479"/>
      <c r="K15" s="479"/>
      <c r="L15" s="209">
        <v>45046</v>
      </c>
      <c r="M15" s="479"/>
      <c r="N15" s="205">
        <v>79730.259999999995</v>
      </c>
      <c r="O15" s="209">
        <v>45064</v>
      </c>
      <c r="P15" s="206"/>
      <c r="Q15" s="205"/>
      <c r="R15" s="205"/>
      <c r="S15" s="499"/>
      <c r="T15" s="476"/>
      <c r="U15" s="482"/>
      <c r="V15" s="2">
        <v>1</v>
      </c>
    </row>
    <row r="16" spans="1:22" x14ac:dyDescent="0.3">
      <c r="V16" s="8">
        <v>2</v>
      </c>
    </row>
  </sheetData>
  <sheetProtection password="EB34" sheet="1" objects="1" scenarios="1" formatCells="0" formatColumns="0" formatRows="0"/>
  <mergeCells count="18">
    <mergeCell ref="Q2:S2"/>
    <mergeCell ref="E2:F2"/>
    <mergeCell ref="L2:M2"/>
    <mergeCell ref="A9:A15"/>
    <mergeCell ref="B9:B15"/>
    <mergeCell ref="D9:D15"/>
    <mergeCell ref="E9:E15"/>
    <mergeCell ref="F9:F15"/>
    <mergeCell ref="M9:M15"/>
    <mergeCell ref="S9:S15"/>
    <mergeCell ref="T9:T15"/>
    <mergeCell ref="C9:C15"/>
    <mergeCell ref="U9:U15"/>
    <mergeCell ref="G9:G15"/>
    <mergeCell ref="H9:H15"/>
    <mergeCell ref="I9:I15"/>
    <mergeCell ref="J9:J15"/>
    <mergeCell ref="K9:K15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theme="3" tint="0.39997558519241921"/>
  </sheetPr>
  <dimension ref="A1:AL10"/>
  <sheetViews>
    <sheetView showGridLines="0" topLeftCell="I1" zoomScale="50" zoomScaleNormal="50" workbookViewId="0">
      <pane ySplit="8" topLeftCell="A9" activePane="bottomLeft" state="frozen"/>
      <selection pane="bottomLeft" activeCell="U9" sqref="U9"/>
    </sheetView>
  </sheetViews>
  <sheetFormatPr defaultColWidth="0" defaultRowHeight="18" x14ac:dyDescent="0.3"/>
  <cols>
    <col min="1" max="1" width="9.109375" style="3" customWidth="1"/>
    <col min="2" max="2" width="44" style="3" customWidth="1"/>
    <col min="3" max="3" width="30.6640625" style="3" customWidth="1"/>
    <col min="4" max="6" width="33.6640625" style="3" customWidth="1"/>
    <col min="7" max="8" width="22.33203125" style="11" customWidth="1"/>
    <col min="9" max="9" width="24.33203125" style="35" customWidth="1"/>
    <col min="10" max="10" width="28.44140625" style="35" customWidth="1"/>
    <col min="11" max="12" width="19.5546875" style="3" customWidth="1"/>
    <col min="13" max="13" width="25.6640625" style="3" customWidth="1"/>
    <col min="14" max="14" width="24.44140625" style="12" bestFit="1" customWidth="1"/>
    <col min="15" max="15" width="24.44140625" style="3" customWidth="1"/>
    <col min="16" max="16" width="31.5546875" style="3" customWidth="1"/>
    <col min="17" max="18" width="21.88671875" style="11" customWidth="1"/>
    <col min="19" max="19" width="23.5546875" style="3" customWidth="1"/>
    <col min="20" max="20" width="31.33203125" style="12" customWidth="1"/>
    <col min="21" max="21" width="27.6640625" style="12" customWidth="1"/>
    <col min="22" max="22" width="25.44140625" style="11" customWidth="1"/>
    <col min="23" max="23" width="25" style="12" customWidth="1"/>
    <col min="24" max="24" width="24.5546875" style="3" customWidth="1"/>
    <col min="25" max="25" width="24.88671875" style="3" customWidth="1"/>
    <col min="26" max="26" width="24" style="3" customWidth="1"/>
    <col min="27" max="27" width="23.6640625" style="12" customWidth="1"/>
    <col min="28" max="28" width="19.109375" style="11" customWidth="1"/>
    <col min="29" max="29" width="23.109375" style="3" customWidth="1"/>
    <col min="30" max="30" width="9.109375" style="8" hidden="1" customWidth="1"/>
    <col min="31" max="31" width="8.5546875" style="8" hidden="1" customWidth="1"/>
    <col min="32" max="38" width="0" style="8" hidden="1" customWidth="1"/>
    <col min="39" max="16384" width="9.109375" style="8" hidden="1"/>
  </cols>
  <sheetData>
    <row r="1" spans="1:33" ht="18.600000000000001" thickBot="1" x14ac:dyDescent="0.35"/>
    <row r="2" spans="1:33" ht="39.9" customHeight="1" thickBot="1" x14ac:dyDescent="0.35">
      <c r="E2" s="436" t="s">
        <v>139</v>
      </c>
      <c r="F2" s="437"/>
      <c r="G2" s="100">
        <f>SUM(G9:G9999)</f>
        <v>26100</v>
      </c>
      <c r="H2" s="15"/>
      <c r="O2" s="436" t="s">
        <v>24</v>
      </c>
      <c r="P2" s="437"/>
      <c r="Q2" s="98">
        <f>SUM(Q9:Q9999)</f>
        <v>25578</v>
      </c>
      <c r="T2" s="375" t="s">
        <v>137</v>
      </c>
      <c r="U2" s="377"/>
      <c r="V2" s="87">
        <f>SUM(V9:V9999)</f>
        <v>2842</v>
      </c>
      <c r="X2" s="86"/>
      <c r="Y2" s="375" t="s">
        <v>45</v>
      </c>
      <c r="Z2" s="376"/>
      <c r="AA2" s="377"/>
      <c r="AB2" s="88">
        <f>SUM(AB9:AB9999)</f>
        <v>0</v>
      </c>
    </row>
    <row r="3" spans="1:33" x14ac:dyDescent="0.3">
      <c r="F3" s="45"/>
      <c r="G3" s="43"/>
      <c r="H3" s="43"/>
      <c r="I3" s="46"/>
      <c r="J3" s="46"/>
      <c r="K3" s="41"/>
      <c r="L3" s="41"/>
      <c r="M3" s="41"/>
      <c r="N3" s="42"/>
      <c r="O3" s="41"/>
      <c r="P3" s="45"/>
      <c r="Q3" s="43"/>
      <c r="R3" s="44"/>
      <c r="S3" s="41"/>
      <c r="T3" s="38"/>
      <c r="U3" s="38"/>
      <c r="V3" s="43"/>
      <c r="W3" s="42"/>
      <c r="X3" s="38"/>
      <c r="Y3" s="38"/>
      <c r="Z3" s="38"/>
      <c r="AA3" s="38"/>
      <c r="AB3" s="43"/>
    </row>
    <row r="4" spans="1:33" ht="39.9" customHeight="1" x14ac:dyDescent="0.3">
      <c r="F4" s="45"/>
      <c r="G4" s="43"/>
      <c r="H4" s="43"/>
      <c r="I4" s="46"/>
      <c r="J4" s="46"/>
      <c r="K4" s="41"/>
      <c r="L4" s="41"/>
      <c r="M4" s="41"/>
      <c r="N4" s="42"/>
      <c r="O4" s="41"/>
      <c r="P4" s="45"/>
      <c r="Q4" s="43"/>
      <c r="R4" s="44"/>
      <c r="S4" s="41"/>
      <c r="T4" s="38"/>
      <c r="U4" s="38"/>
      <c r="V4" s="43"/>
      <c r="W4" s="42"/>
      <c r="X4" s="38"/>
      <c r="Y4" s="38"/>
      <c r="Z4" s="38"/>
      <c r="AA4" s="38"/>
      <c r="AB4" s="43"/>
    </row>
    <row r="6" spans="1:33" ht="126" x14ac:dyDescent="0.3">
      <c r="A6" s="23" t="s">
        <v>8</v>
      </c>
      <c r="B6" s="23" t="s">
        <v>47</v>
      </c>
      <c r="C6" s="23" t="s">
        <v>33</v>
      </c>
      <c r="D6" s="23" t="s">
        <v>10</v>
      </c>
      <c r="E6" s="23" t="s">
        <v>11</v>
      </c>
      <c r="F6" s="23" t="s">
        <v>12</v>
      </c>
      <c r="G6" s="31" t="s">
        <v>13</v>
      </c>
      <c r="H6" s="31" t="s">
        <v>34</v>
      </c>
      <c r="I6" s="36" t="s">
        <v>16</v>
      </c>
      <c r="J6" s="36" t="s">
        <v>17</v>
      </c>
      <c r="K6" s="23" t="s">
        <v>14</v>
      </c>
      <c r="L6" s="23" t="s">
        <v>32</v>
      </c>
      <c r="M6" s="23" t="s">
        <v>15</v>
      </c>
      <c r="N6" s="30" t="s">
        <v>0</v>
      </c>
      <c r="O6" s="23" t="s">
        <v>46</v>
      </c>
      <c r="P6" s="23" t="s">
        <v>5</v>
      </c>
      <c r="Q6" s="31" t="s">
        <v>18</v>
      </c>
      <c r="R6" s="31" t="s">
        <v>22</v>
      </c>
      <c r="S6" s="23" t="s">
        <v>19</v>
      </c>
      <c r="T6" s="30" t="s">
        <v>37</v>
      </c>
      <c r="U6" s="30" t="s">
        <v>20</v>
      </c>
      <c r="V6" s="31" t="s">
        <v>23</v>
      </c>
      <c r="W6" s="30" t="s">
        <v>9</v>
      </c>
      <c r="X6" s="28" t="s">
        <v>40</v>
      </c>
      <c r="Y6" s="28" t="s">
        <v>103</v>
      </c>
      <c r="Z6" s="28" t="s">
        <v>104</v>
      </c>
      <c r="AA6" s="27" t="s">
        <v>41</v>
      </c>
      <c r="AB6" s="31" t="s">
        <v>43</v>
      </c>
      <c r="AC6" s="23" t="s">
        <v>42</v>
      </c>
      <c r="AD6" s="16"/>
      <c r="AE6" s="16"/>
      <c r="AF6" s="16"/>
      <c r="AG6" s="16"/>
    </row>
    <row r="7" spans="1:33" x14ac:dyDescent="0.3">
      <c r="A7" s="78" t="s">
        <v>36</v>
      </c>
      <c r="B7" s="78" t="s">
        <v>110</v>
      </c>
      <c r="C7" s="78" t="s">
        <v>111</v>
      </c>
      <c r="D7" s="78" t="s">
        <v>112</v>
      </c>
      <c r="E7" s="78" t="s">
        <v>113</v>
      </c>
      <c r="F7" s="78" t="s">
        <v>114</v>
      </c>
      <c r="G7" s="78" t="s">
        <v>115</v>
      </c>
      <c r="H7" s="78" t="s">
        <v>116</v>
      </c>
      <c r="I7" s="78" t="s">
        <v>117</v>
      </c>
      <c r="J7" s="78" t="s">
        <v>118</v>
      </c>
      <c r="K7" s="78" t="s">
        <v>119</v>
      </c>
      <c r="L7" s="78" t="s">
        <v>120</v>
      </c>
      <c r="M7" s="78" t="s">
        <v>121</v>
      </c>
      <c r="N7" s="78" t="s">
        <v>122</v>
      </c>
      <c r="O7" s="78" t="s">
        <v>123</v>
      </c>
      <c r="P7" s="78" t="s">
        <v>124</v>
      </c>
      <c r="Q7" s="78" t="s">
        <v>125</v>
      </c>
      <c r="R7" s="78" t="s">
        <v>126</v>
      </c>
      <c r="S7" s="78" t="s">
        <v>127</v>
      </c>
      <c r="T7" s="78" t="s">
        <v>128</v>
      </c>
      <c r="U7" s="78" t="s">
        <v>129</v>
      </c>
      <c r="V7" s="78" t="s">
        <v>130</v>
      </c>
      <c r="W7" s="78" t="s">
        <v>131</v>
      </c>
      <c r="X7" s="78" t="s">
        <v>132</v>
      </c>
      <c r="Y7" s="78" t="s">
        <v>133</v>
      </c>
      <c r="Z7" s="78" t="s">
        <v>134</v>
      </c>
      <c r="AA7" s="78" t="s">
        <v>135</v>
      </c>
      <c r="AB7" s="78" t="s">
        <v>136</v>
      </c>
      <c r="AC7" s="78" t="s">
        <v>138</v>
      </c>
      <c r="AD7" s="16"/>
      <c r="AE7" s="16"/>
      <c r="AF7" s="16"/>
      <c r="AG7" s="16"/>
    </row>
    <row r="8" spans="1:33" ht="162" x14ac:dyDescent="0.3">
      <c r="A8" s="26" t="s">
        <v>36</v>
      </c>
      <c r="B8" s="26"/>
      <c r="C8" s="26" t="s">
        <v>73</v>
      </c>
      <c r="D8" s="26" t="s">
        <v>74</v>
      </c>
      <c r="E8" s="26" t="s">
        <v>71</v>
      </c>
      <c r="F8" s="26" t="s">
        <v>72</v>
      </c>
      <c r="G8" s="24">
        <v>15500.01</v>
      </c>
      <c r="H8" s="24">
        <f t="shared" ref="H8" si="0">G8-Q8</f>
        <v>6725</v>
      </c>
      <c r="I8" s="37">
        <v>6</v>
      </c>
      <c r="J8" s="37">
        <v>0</v>
      </c>
      <c r="K8" s="26" t="s">
        <v>75</v>
      </c>
      <c r="L8" s="26" t="s">
        <v>76</v>
      </c>
      <c r="M8" s="26" t="s">
        <v>77</v>
      </c>
      <c r="N8" s="25">
        <v>43655</v>
      </c>
      <c r="O8" s="26" t="s">
        <v>79</v>
      </c>
      <c r="P8" s="26" t="s">
        <v>78</v>
      </c>
      <c r="Q8" s="24">
        <v>8775.01</v>
      </c>
      <c r="R8" s="24">
        <f>Q8-V8</f>
        <v>0</v>
      </c>
      <c r="S8" s="26" t="s">
        <v>80</v>
      </c>
      <c r="T8" s="25">
        <v>43677</v>
      </c>
      <c r="U8" s="25" t="s">
        <v>81</v>
      </c>
      <c r="V8" s="24">
        <v>8775.01</v>
      </c>
      <c r="W8" s="25">
        <v>43696</v>
      </c>
      <c r="X8" s="26"/>
      <c r="Y8" s="72"/>
      <c r="Z8" s="72"/>
      <c r="AA8" s="25"/>
      <c r="AB8" s="24"/>
      <c r="AC8" s="26" t="s">
        <v>64</v>
      </c>
    </row>
    <row r="9" spans="1:33" s="108" customFormat="1" ht="144" x14ac:dyDescent="0.3">
      <c r="A9" s="151">
        <v>1</v>
      </c>
      <c r="B9" s="152" t="s">
        <v>56</v>
      </c>
      <c r="C9" s="152" t="s">
        <v>250</v>
      </c>
      <c r="D9" s="152" t="s">
        <v>147</v>
      </c>
      <c r="E9" s="152" t="s">
        <v>251</v>
      </c>
      <c r="F9" s="152" t="s">
        <v>252</v>
      </c>
      <c r="G9" s="154">
        <v>26100</v>
      </c>
      <c r="H9" s="155">
        <f>IF(AD9 = 1, G9 - Q9,0)</f>
        <v>522</v>
      </c>
      <c r="I9" s="154">
        <v>4</v>
      </c>
      <c r="J9" s="154"/>
      <c r="K9" s="152" t="s">
        <v>179</v>
      </c>
      <c r="L9" s="175"/>
      <c r="M9" s="152" t="s">
        <v>253</v>
      </c>
      <c r="N9" s="162">
        <v>45009</v>
      </c>
      <c r="O9" s="152" t="s">
        <v>172</v>
      </c>
      <c r="P9" s="152" t="s">
        <v>171</v>
      </c>
      <c r="Q9" s="154">
        <v>25578</v>
      </c>
      <c r="R9" s="155">
        <f>IF(AD9 = 1, Q9 + SUM(Y9:Y9) - SUM(Z9:Z9) - SUM(V9:V9) - AB9,0)</f>
        <v>22736</v>
      </c>
      <c r="S9" s="152"/>
      <c r="T9" s="162">
        <v>45050</v>
      </c>
      <c r="U9" s="153" t="s">
        <v>254</v>
      </c>
      <c r="V9" s="154">
        <v>2842</v>
      </c>
      <c r="W9" s="162">
        <v>45061</v>
      </c>
      <c r="X9" s="152"/>
      <c r="Y9" s="154"/>
      <c r="Z9" s="154"/>
      <c r="AA9" s="153"/>
      <c r="AB9" s="154"/>
      <c r="AC9" s="152"/>
      <c r="AD9" s="108">
        <v>1</v>
      </c>
    </row>
    <row r="10" spans="1:33" x14ac:dyDescent="0.3">
      <c r="AD10" s="8">
        <v>2</v>
      </c>
    </row>
  </sheetData>
  <sheetProtection password="EB34" sheet="1" objects="1" scenarios="1" formatCells="0" formatColumns="0" formatRows="0"/>
  <mergeCells count="4"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theme="3" tint="0.39997558519241921"/>
  </sheetPr>
  <dimension ref="A1:AL23"/>
  <sheetViews>
    <sheetView showGridLines="0" topLeftCell="K1" zoomScale="50" zoomScaleNormal="50" workbookViewId="0">
      <pane ySplit="8" topLeftCell="A10" activePane="bottomLeft" state="frozen"/>
      <selection pane="bottomLeft" activeCell="W20" sqref="W20"/>
    </sheetView>
  </sheetViews>
  <sheetFormatPr defaultColWidth="0" defaultRowHeight="18" x14ac:dyDescent="0.3"/>
  <cols>
    <col min="1" max="1" width="9.109375" style="3" customWidth="1"/>
    <col min="2" max="2" width="47.109375" style="3" customWidth="1"/>
    <col min="3" max="3" width="34.44140625" style="3" customWidth="1"/>
    <col min="4" max="6" width="33.6640625" style="3" customWidth="1"/>
    <col min="7" max="7" width="22.33203125" style="11" customWidth="1"/>
    <col min="8" max="8" width="22.33203125" style="8" customWidth="1"/>
    <col min="9" max="9" width="24.33203125" style="35" customWidth="1"/>
    <col min="10" max="10" width="28.44140625" style="35" customWidth="1"/>
    <col min="11" max="12" width="19.5546875" style="3" customWidth="1"/>
    <col min="13" max="13" width="25.6640625" style="3" customWidth="1"/>
    <col min="14" max="14" width="24.44140625" style="12" bestFit="1" customWidth="1"/>
    <col min="15" max="15" width="24.44140625" style="3" customWidth="1"/>
    <col min="16" max="16" width="31.5546875" style="3" customWidth="1"/>
    <col min="17" max="17" width="27" style="11" customWidth="1"/>
    <col min="18" max="18" width="21.88671875" style="8" customWidth="1"/>
    <col min="19" max="19" width="23.5546875" style="8" customWidth="1"/>
    <col min="20" max="20" width="32.44140625" style="8" customWidth="1"/>
    <col min="21" max="21" width="27.6640625" style="8" customWidth="1"/>
    <col min="22" max="22" width="25.44140625" style="8" customWidth="1"/>
    <col min="23" max="23" width="25" style="8" customWidth="1"/>
    <col min="24" max="26" width="25.109375" style="8" customWidth="1"/>
    <col min="27" max="27" width="23.88671875" style="8" customWidth="1"/>
    <col min="28" max="28" width="20.33203125" style="8" customWidth="1"/>
    <col min="29" max="29" width="20" style="8" customWidth="1"/>
    <col min="30" max="38" width="0" style="8" hidden="1" customWidth="1"/>
    <col min="39" max="16384" width="9.109375" style="8" hidden="1"/>
  </cols>
  <sheetData>
    <row r="1" spans="1:33" ht="18.600000000000001" thickBot="1" x14ac:dyDescent="0.35">
      <c r="T1" s="16"/>
    </row>
    <row r="2" spans="1:33" ht="39.9" customHeight="1" thickBot="1" x14ac:dyDescent="0.35">
      <c r="E2" s="436" t="s">
        <v>139</v>
      </c>
      <c r="F2" s="437"/>
      <c r="G2" s="100">
        <f>SUM(G9:G10012)</f>
        <v>763740.72</v>
      </c>
      <c r="H2" s="15"/>
      <c r="O2" s="436" t="s">
        <v>24</v>
      </c>
      <c r="P2" s="437"/>
      <c r="Q2" s="98">
        <f>SUM(Q9:Q10012)</f>
        <v>763740.72</v>
      </c>
      <c r="T2" s="375" t="s">
        <v>137</v>
      </c>
      <c r="U2" s="377"/>
      <c r="V2" s="87">
        <f>SUM(V9:V10012)</f>
        <v>201302.44999999998</v>
      </c>
      <c r="X2" s="86"/>
      <c r="Y2" s="375" t="s">
        <v>45</v>
      </c>
      <c r="Z2" s="376"/>
      <c r="AA2" s="377"/>
      <c r="AB2" s="88">
        <f>SUM(AB9:AB10012)</f>
        <v>0</v>
      </c>
    </row>
    <row r="4" spans="1:33" ht="39.9" customHeight="1" x14ac:dyDescent="0.3"/>
    <row r="6" spans="1:33" ht="108" x14ac:dyDescent="0.3">
      <c r="A6" s="23" t="s">
        <v>8</v>
      </c>
      <c r="B6" s="23" t="s">
        <v>47</v>
      </c>
      <c r="C6" s="23" t="s">
        <v>33</v>
      </c>
      <c r="D6" s="23" t="s">
        <v>10</v>
      </c>
      <c r="E6" s="23" t="s">
        <v>11</v>
      </c>
      <c r="F6" s="23" t="s">
        <v>12</v>
      </c>
      <c r="G6" s="31" t="s">
        <v>13</v>
      </c>
      <c r="H6" s="1" t="s">
        <v>34</v>
      </c>
      <c r="I6" s="36" t="s">
        <v>16</v>
      </c>
      <c r="J6" s="36" t="s">
        <v>17</v>
      </c>
      <c r="K6" s="23" t="s">
        <v>14</v>
      </c>
      <c r="L6" s="23" t="s">
        <v>32</v>
      </c>
      <c r="M6" s="23" t="s">
        <v>15</v>
      </c>
      <c r="N6" s="30" t="s">
        <v>0</v>
      </c>
      <c r="O6" s="23" t="s">
        <v>46</v>
      </c>
      <c r="P6" s="23" t="s">
        <v>5</v>
      </c>
      <c r="Q6" s="31" t="s">
        <v>38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7" t="s">
        <v>40</v>
      </c>
      <c r="Y6" s="17" t="s">
        <v>103</v>
      </c>
      <c r="Z6" s="17" t="s">
        <v>104</v>
      </c>
      <c r="AA6" s="17" t="s">
        <v>41</v>
      </c>
      <c r="AB6" s="1" t="s">
        <v>43</v>
      </c>
      <c r="AC6" s="1" t="s">
        <v>42</v>
      </c>
      <c r="AD6" s="16"/>
      <c r="AE6" s="16"/>
      <c r="AF6" s="16"/>
      <c r="AG6" s="16"/>
    </row>
    <row r="7" spans="1:33" x14ac:dyDescent="0.3">
      <c r="A7" s="78" t="s">
        <v>36</v>
      </c>
      <c r="B7" s="78" t="s">
        <v>110</v>
      </c>
      <c r="C7" s="78" t="s">
        <v>111</v>
      </c>
      <c r="D7" s="78" t="s">
        <v>112</v>
      </c>
      <c r="E7" s="78" t="s">
        <v>113</v>
      </c>
      <c r="F7" s="78" t="s">
        <v>114</v>
      </c>
      <c r="G7" s="78" t="s">
        <v>115</v>
      </c>
      <c r="H7" s="78" t="s">
        <v>116</v>
      </c>
      <c r="I7" s="78" t="s">
        <v>117</v>
      </c>
      <c r="J7" s="78" t="s">
        <v>118</v>
      </c>
      <c r="K7" s="78" t="s">
        <v>119</v>
      </c>
      <c r="L7" s="78" t="s">
        <v>120</v>
      </c>
      <c r="M7" s="78" t="s">
        <v>121</v>
      </c>
      <c r="N7" s="78" t="s">
        <v>122</v>
      </c>
      <c r="O7" s="78" t="s">
        <v>123</v>
      </c>
      <c r="P7" s="78" t="s">
        <v>124</v>
      </c>
      <c r="Q7" s="78" t="s">
        <v>125</v>
      </c>
      <c r="R7" s="78" t="s">
        <v>126</v>
      </c>
      <c r="S7" s="78" t="s">
        <v>127</v>
      </c>
      <c r="T7" s="78" t="s">
        <v>128</v>
      </c>
      <c r="U7" s="78" t="s">
        <v>129</v>
      </c>
      <c r="V7" s="78" t="s">
        <v>130</v>
      </c>
      <c r="W7" s="78" t="s">
        <v>131</v>
      </c>
      <c r="X7" s="78" t="s">
        <v>132</v>
      </c>
      <c r="Y7" s="78" t="s">
        <v>133</v>
      </c>
      <c r="Z7" s="78" t="s">
        <v>134</v>
      </c>
      <c r="AA7" s="78" t="s">
        <v>135</v>
      </c>
      <c r="AB7" s="78" t="s">
        <v>136</v>
      </c>
      <c r="AC7" s="78" t="s">
        <v>138</v>
      </c>
      <c r="AD7" s="16"/>
      <c r="AE7" s="16"/>
      <c r="AF7" s="16"/>
      <c r="AG7" s="16"/>
    </row>
    <row r="8" spans="1:33" ht="162" x14ac:dyDescent="0.3">
      <c r="A8" s="72" t="s">
        <v>36</v>
      </c>
      <c r="B8" s="72"/>
      <c r="C8" s="72" t="s">
        <v>73</v>
      </c>
      <c r="D8" s="72" t="s">
        <v>74</v>
      </c>
      <c r="E8" s="72" t="s">
        <v>71</v>
      </c>
      <c r="F8" s="72" t="s">
        <v>72</v>
      </c>
      <c r="G8" s="74">
        <v>15500.01</v>
      </c>
      <c r="H8" s="74">
        <f t="shared" ref="H8" si="0">G8-Q8</f>
        <v>6725</v>
      </c>
      <c r="I8" s="97">
        <v>6</v>
      </c>
      <c r="J8" s="97">
        <v>0</v>
      </c>
      <c r="K8" s="72" t="s">
        <v>75</v>
      </c>
      <c r="L8" s="72" t="s">
        <v>76</v>
      </c>
      <c r="M8" s="72" t="s">
        <v>77</v>
      </c>
      <c r="N8" s="73">
        <v>43655</v>
      </c>
      <c r="O8" s="72" t="s">
        <v>79</v>
      </c>
      <c r="P8" s="72" t="s">
        <v>78</v>
      </c>
      <c r="Q8" s="74">
        <v>8775.01</v>
      </c>
      <c r="R8" s="74">
        <f>Q8-V8</f>
        <v>0</v>
      </c>
      <c r="S8" s="72" t="s">
        <v>80</v>
      </c>
      <c r="T8" s="73">
        <v>43677</v>
      </c>
      <c r="U8" s="72" t="s">
        <v>81</v>
      </c>
      <c r="V8" s="74">
        <v>8775.01</v>
      </c>
      <c r="W8" s="73">
        <v>43696</v>
      </c>
      <c r="X8" s="72"/>
      <c r="Y8" s="72"/>
      <c r="Z8" s="72"/>
      <c r="AA8" s="72"/>
      <c r="AB8" s="74"/>
      <c r="AC8" s="75" t="s">
        <v>64</v>
      </c>
    </row>
    <row r="9" spans="1:33" s="108" customFormat="1" ht="75" customHeight="1" x14ac:dyDescent="0.3">
      <c r="A9" s="515">
        <v>1</v>
      </c>
      <c r="B9" s="500" t="s">
        <v>56</v>
      </c>
      <c r="C9" s="500" t="s">
        <v>278</v>
      </c>
      <c r="D9" s="500" t="s">
        <v>147</v>
      </c>
      <c r="E9" s="500" t="s">
        <v>279</v>
      </c>
      <c r="F9" s="500" t="s">
        <v>280</v>
      </c>
      <c r="G9" s="503">
        <v>763740.72</v>
      </c>
      <c r="H9" s="509">
        <f>IF(AD9 = 1, G9 - Q9,0)</f>
        <v>0</v>
      </c>
      <c r="I9" s="503">
        <v>1</v>
      </c>
      <c r="J9" s="503"/>
      <c r="K9" s="500" t="s">
        <v>179</v>
      </c>
      <c r="L9" s="500"/>
      <c r="M9" s="500" t="s">
        <v>279</v>
      </c>
      <c r="N9" s="512">
        <v>45023</v>
      </c>
      <c r="O9" s="500" t="s">
        <v>281</v>
      </c>
      <c r="P9" s="500" t="s">
        <v>282</v>
      </c>
      <c r="Q9" s="503">
        <v>763740.72</v>
      </c>
      <c r="R9" s="509">
        <f>IF(AD9 = 1, Q9 + SUM(Y9:Y22) - SUM(Z9:Z22) - SUM(V9:V22) - AB9,0)</f>
        <v>562438.27</v>
      </c>
      <c r="S9" s="500"/>
      <c r="T9" s="240">
        <v>45062</v>
      </c>
      <c r="U9" s="500" t="s">
        <v>283</v>
      </c>
      <c r="V9" s="234">
        <v>11850</v>
      </c>
      <c r="W9" s="240">
        <v>45064</v>
      </c>
      <c r="X9" s="235"/>
      <c r="Y9" s="234"/>
      <c r="Z9" s="234"/>
      <c r="AA9" s="500"/>
      <c r="AB9" s="503"/>
      <c r="AC9" s="506"/>
      <c r="AD9" s="108">
        <v>1</v>
      </c>
    </row>
    <row r="10" spans="1:33" s="2" customFormat="1" x14ac:dyDescent="0.3">
      <c r="A10" s="516"/>
      <c r="B10" s="501"/>
      <c r="C10" s="501"/>
      <c r="D10" s="501"/>
      <c r="E10" s="501"/>
      <c r="F10" s="501"/>
      <c r="G10" s="504"/>
      <c r="H10" s="510"/>
      <c r="I10" s="504"/>
      <c r="J10" s="504"/>
      <c r="K10" s="501"/>
      <c r="L10" s="501"/>
      <c r="M10" s="501"/>
      <c r="N10" s="513"/>
      <c r="O10" s="501"/>
      <c r="P10" s="501"/>
      <c r="Q10" s="504"/>
      <c r="R10" s="510"/>
      <c r="S10" s="501"/>
      <c r="T10" s="241">
        <v>45062</v>
      </c>
      <c r="U10" s="501"/>
      <c r="V10" s="236">
        <v>28425</v>
      </c>
      <c r="W10" s="241">
        <v>45064</v>
      </c>
      <c r="X10" s="237"/>
      <c r="Y10" s="236"/>
      <c r="Z10" s="236"/>
      <c r="AA10" s="501"/>
      <c r="AB10" s="504"/>
      <c r="AC10" s="507"/>
      <c r="AD10" s="2">
        <v>1</v>
      </c>
    </row>
    <row r="11" spans="1:33" s="2" customFormat="1" x14ac:dyDescent="0.3">
      <c r="A11" s="516"/>
      <c r="B11" s="501"/>
      <c r="C11" s="501"/>
      <c r="D11" s="501"/>
      <c r="E11" s="501"/>
      <c r="F11" s="501"/>
      <c r="G11" s="504"/>
      <c r="H11" s="510"/>
      <c r="I11" s="504"/>
      <c r="J11" s="504"/>
      <c r="K11" s="501"/>
      <c r="L11" s="501"/>
      <c r="M11" s="501"/>
      <c r="N11" s="513"/>
      <c r="O11" s="501"/>
      <c r="P11" s="501"/>
      <c r="Q11" s="504"/>
      <c r="R11" s="510"/>
      <c r="S11" s="501"/>
      <c r="T11" s="241">
        <v>45062</v>
      </c>
      <c r="U11" s="501"/>
      <c r="V11" s="236">
        <v>82766.22</v>
      </c>
      <c r="W11" s="241">
        <v>45064</v>
      </c>
      <c r="X11" s="237"/>
      <c r="Y11" s="236"/>
      <c r="Z11" s="236"/>
      <c r="AA11" s="501"/>
      <c r="AB11" s="504"/>
      <c r="AC11" s="507"/>
      <c r="AD11" s="2">
        <v>1</v>
      </c>
    </row>
    <row r="12" spans="1:33" s="2" customFormat="1" x14ac:dyDescent="0.3">
      <c r="A12" s="516"/>
      <c r="B12" s="501"/>
      <c r="C12" s="501"/>
      <c r="D12" s="501"/>
      <c r="E12" s="501"/>
      <c r="F12" s="501"/>
      <c r="G12" s="504"/>
      <c r="H12" s="510"/>
      <c r="I12" s="504"/>
      <c r="J12" s="504"/>
      <c r="K12" s="501"/>
      <c r="L12" s="501"/>
      <c r="M12" s="501"/>
      <c r="N12" s="513"/>
      <c r="O12" s="501"/>
      <c r="P12" s="501"/>
      <c r="Q12" s="504"/>
      <c r="R12" s="510"/>
      <c r="S12" s="501"/>
      <c r="T12" s="241">
        <v>45062</v>
      </c>
      <c r="U12" s="501"/>
      <c r="V12" s="236">
        <v>5283.06</v>
      </c>
      <c r="W12" s="241">
        <v>45064</v>
      </c>
      <c r="X12" s="237"/>
      <c r="Y12" s="236"/>
      <c r="Z12" s="236"/>
      <c r="AA12" s="501"/>
      <c r="AB12" s="504"/>
      <c r="AC12" s="507"/>
      <c r="AD12" s="2">
        <v>1</v>
      </c>
    </row>
    <row r="13" spans="1:33" s="2" customFormat="1" x14ac:dyDescent="0.3">
      <c r="A13" s="516"/>
      <c r="B13" s="501"/>
      <c r="C13" s="501"/>
      <c r="D13" s="501"/>
      <c r="E13" s="501"/>
      <c r="F13" s="501"/>
      <c r="G13" s="504"/>
      <c r="H13" s="510"/>
      <c r="I13" s="504"/>
      <c r="J13" s="504"/>
      <c r="K13" s="501"/>
      <c r="L13" s="501"/>
      <c r="M13" s="501"/>
      <c r="N13" s="513"/>
      <c r="O13" s="501"/>
      <c r="P13" s="501"/>
      <c r="Q13" s="504"/>
      <c r="R13" s="510"/>
      <c r="S13" s="501"/>
      <c r="T13" s="241">
        <v>45062</v>
      </c>
      <c r="U13" s="501"/>
      <c r="V13" s="236">
        <v>875</v>
      </c>
      <c r="W13" s="241">
        <v>45064</v>
      </c>
      <c r="X13" s="237"/>
      <c r="Y13" s="236"/>
      <c r="Z13" s="236"/>
      <c r="AA13" s="501"/>
      <c r="AB13" s="504"/>
      <c r="AC13" s="507"/>
      <c r="AD13" s="2">
        <v>1</v>
      </c>
    </row>
    <row r="14" spans="1:33" s="2" customFormat="1" x14ac:dyDescent="0.3">
      <c r="A14" s="516"/>
      <c r="B14" s="501"/>
      <c r="C14" s="501"/>
      <c r="D14" s="501"/>
      <c r="E14" s="501"/>
      <c r="F14" s="501"/>
      <c r="G14" s="504"/>
      <c r="H14" s="510"/>
      <c r="I14" s="504"/>
      <c r="J14" s="504"/>
      <c r="K14" s="501"/>
      <c r="L14" s="501"/>
      <c r="M14" s="501"/>
      <c r="N14" s="513"/>
      <c r="O14" s="501"/>
      <c r="P14" s="501"/>
      <c r="Q14" s="504"/>
      <c r="R14" s="510"/>
      <c r="S14" s="501"/>
      <c r="T14" s="241">
        <v>45062</v>
      </c>
      <c r="U14" s="501"/>
      <c r="V14" s="236">
        <v>7800</v>
      </c>
      <c r="W14" s="241">
        <v>45064</v>
      </c>
      <c r="X14" s="237"/>
      <c r="Y14" s="236"/>
      <c r="Z14" s="236"/>
      <c r="AA14" s="501"/>
      <c r="AB14" s="504"/>
      <c r="AC14" s="507"/>
      <c r="AD14" s="2">
        <v>1</v>
      </c>
    </row>
    <row r="15" spans="1:33" s="2" customFormat="1" x14ac:dyDescent="0.3">
      <c r="A15" s="516"/>
      <c r="B15" s="501"/>
      <c r="C15" s="501"/>
      <c r="D15" s="501"/>
      <c r="E15" s="501"/>
      <c r="F15" s="501"/>
      <c r="G15" s="504"/>
      <c r="H15" s="510"/>
      <c r="I15" s="504"/>
      <c r="J15" s="504"/>
      <c r="K15" s="501"/>
      <c r="L15" s="501"/>
      <c r="M15" s="501"/>
      <c r="N15" s="513"/>
      <c r="O15" s="501"/>
      <c r="P15" s="501"/>
      <c r="Q15" s="504"/>
      <c r="R15" s="510"/>
      <c r="S15" s="501"/>
      <c r="T15" s="241">
        <v>45062</v>
      </c>
      <c r="U15" s="501"/>
      <c r="V15" s="236">
        <v>3106.89</v>
      </c>
      <c r="W15" s="241">
        <v>45064</v>
      </c>
      <c r="X15" s="237"/>
      <c r="Y15" s="236"/>
      <c r="Z15" s="236"/>
      <c r="AA15" s="501"/>
      <c r="AB15" s="504"/>
      <c r="AC15" s="507"/>
      <c r="AD15" s="2">
        <v>1</v>
      </c>
    </row>
    <row r="16" spans="1:33" s="2" customFormat="1" x14ac:dyDescent="0.3">
      <c r="A16" s="516"/>
      <c r="B16" s="501"/>
      <c r="C16" s="501"/>
      <c r="D16" s="501"/>
      <c r="E16" s="501"/>
      <c r="F16" s="501"/>
      <c r="G16" s="504"/>
      <c r="H16" s="510"/>
      <c r="I16" s="504"/>
      <c r="J16" s="504"/>
      <c r="K16" s="501"/>
      <c r="L16" s="501"/>
      <c r="M16" s="501"/>
      <c r="N16" s="513"/>
      <c r="O16" s="501"/>
      <c r="P16" s="501"/>
      <c r="Q16" s="504"/>
      <c r="R16" s="510"/>
      <c r="S16" s="501"/>
      <c r="T16" s="241">
        <v>45062</v>
      </c>
      <c r="U16" s="501"/>
      <c r="V16" s="236">
        <v>14942.3</v>
      </c>
      <c r="W16" s="241">
        <v>45064</v>
      </c>
      <c r="X16" s="237"/>
      <c r="Y16" s="236"/>
      <c r="Z16" s="236"/>
      <c r="AA16" s="501"/>
      <c r="AB16" s="504"/>
      <c r="AC16" s="507"/>
      <c r="AD16" s="2">
        <v>1</v>
      </c>
    </row>
    <row r="17" spans="1:30" s="2" customFormat="1" x14ac:dyDescent="0.3">
      <c r="A17" s="516"/>
      <c r="B17" s="501"/>
      <c r="C17" s="501"/>
      <c r="D17" s="501"/>
      <c r="E17" s="501"/>
      <c r="F17" s="501"/>
      <c r="G17" s="504"/>
      <c r="H17" s="510"/>
      <c r="I17" s="504"/>
      <c r="J17" s="504"/>
      <c r="K17" s="501"/>
      <c r="L17" s="501"/>
      <c r="M17" s="501"/>
      <c r="N17" s="513"/>
      <c r="O17" s="501"/>
      <c r="P17" s="501"/>
      <c r="Q17" s="504"/>
      <c r="R17" s="510"/>
      <c r="S17" s="501"/>
      <c r="T17" s="241">
        <v>45062</v>
      </c>
      <c r="U17" s="501"/>
      <c r="V17" s="236">
        <v>12225.52</v>
      </c>
      <c r="W17" s="241">
        <v>45064</v>
      </c>
      <c r="X17" s="237"/>
      <c r="Y17" s="236"/>
      <c r="Z17" s="236"/>
      <c r="AA17" s="501"/>
      <c r="AB17" s="504"/>
      <c r="AC17" s="507"/>
      <c r="AD17" s="2">
        <v>1</v>
      </c>
    </row>
    <row r="18" spans="1:30" s="2" customFormat="1" x14ac:dyDescent="0.3">
      <c r="A18" s="516"/>
      <c r="B18" s="501"/>
      <c r="C18" s="501"/>
      <c r="D18" s="501"/>
      <c r="E18" s="501"/>
      <c r="F18" s="501"/>
      <c r="G18" s="504"/>
      <c r="H18" s="510"/>
      <c r="I18" s="504"/>
      <c r="J18" s="504"/>
      <c r="K18" s="501"/>
      <c r="L18" s="501"/>
      <c r="M18" s="501"/>
      <c r="N18" s="513"/>
      <c r="O18" s="501"/>
      <c r="P18" s="501"/>
      <c r="Q18" s="504"/>
      <c r="R18" s="510"/>
      <c r="S18" s="501"/>
      <c r="T18" s="241">
        <v>45064</v>
      </c>
      <c r="U18" s="501"/>
      <c r="V18" s="236">
        <v>31986.71</v>
      </c>
      <c r="W18" s="241">
        <v>45070</v>
      </c>
      <c r="X18" s="237"/>
      <c r="Y18" s="236"/>
      <c r="Z18" s="236"/>
      <c r="AA18" s="501"/>
      <c r="AB18" s="504"/>
      <c r="AC18" s="507"/>
      <c r="AD18" s="2">
        <v>1</v>
      </c>
    </row>
    <row r="19" spans="1:30" s="2" customFormat="1" x14ac:dyDescent="0.3">
      <c r="A19" s="516"/>
      <c r="B19" s="501"/>
      <c r="C19" s="501"/>
      <c r="D19" s="501"/>
      <c r="E19" s="501"/>
      <c r="F19" s="501"/>
      <c r="G19" s="504"/>
      <c r="H19" s="510"/>
      <c r="I19" s="504"/>
      <c r="J19" s="504"/>
      <c r="K19" s="501"/>
      <c r="L19" s="501"/>
      <c r="M19" s="501"/>
      <c r="N19" s="513"/>
      <c r="O19" s="501"/>
      <c r="P19" s="501"/>
      <c r="Q19" s="504"/>
      <c r="R19" s="510"/>
      <c r="S19" s="501"/>
      <c r="T19" s="241">
        <v>45064</v>
      </c>
      <c r="U19" s="501"/>
      <c r="V19" s="236">
        <v>2041.75</v>
      </c>
      <c r="W19" s="241">
        <v>45070</v>
      </c>
      <c r="X19" s="237"/>
      <c r="Y19" s="236"/>
      <c r="Z19" s="236"/>
      <c r="AA19" s="501"/>
      <c r="AB19" s="504"/>
      <c r="AC19" s="507"/>
      <c r="AD19" s="2">
        <v>1</v>
      </c>
    </row>
    <row r="20" spans="1:30" s="2" customFormat="1" x14ac:dyDescent="0.3">
      <c r="A20" s="516"/>
      <c r="B20" s="501"/>
      <c r="C20" s="501"/>
      <c r="D20" s="501"/>
      <c r="E20" s="501"/>
      <c r="F20" s="501"/>
      <c r="G20" s="504"/>
      <c r="H20" s="510"/>
      <c r="I20" s="504"/>
      <c r="J20" s="504"/>
      <c r="K20" s="501"/>
      <c r="L20" s="501"/>
      <c r="M20" s="501"/>
      <c r="N20" s="513"/>
      <c r="O20" s="501"/>
      <c r="P20" s="501"/>
      <c r="Q20" s="504"/>
      <c r="R20" s="510"/>
      <c r="S20" s="501"/>
      <c r="T20" s="241"/>
      <c r="U20" s="501"/>
      <c r="V20" s="236"/>
      <c r="W20" s="241"/>
      <c r="X20" s="237"/>
      <c r="Y20" s="236"/>
      <c r="Z20" s="236"/>
      <c r="AA20" s="501"/>
      <c r="AB20" s="504"/>
      <c r="AC20" s="507"/>
      <c r="AD20" s="2">
        <v>1</v>
      </c>
    </row>
    <row r="21" spans="1:30" s="2" customFormat="1" x14ac:dyDescent="0.3">
      <c r="A21" s="516"/>
      <c r="B21" s="501"/>
      <c r="C21" s="501"/>
      <c r="D21" s="501"/>
      <c r="E21" s="501"/>
      <c r="F21" s="501"/>
      <c r="G21" s="504"/>
      <c r="H21" s="510"/>
      <c r="I21" s="504"/>
      <c r="J21" s="504"/>
      <c r="K21" s="501"/>
      <c r="L21" s="501"/>
      <c r="M21" s="501"/>
      <c r="N21" s="513"/>
      <c r="O21" s="501"/>
      <c r="P21" s="501"/>
      <c r="Q21" s="504"/>
      <c r="R21" s="510"/>
      <c r="S21" s="501"/>
      <c r="T21" s="241"/>
      <c r="U21" s="501"/>
      <c r="V21" s="236"/>
      <c r="W21" s="241"/>
      <c r="X21" s="237"/>
      <c r="Y21" s="236"/>
      <c r="Z21" s="236"/>
      <c r="AA21" s="501"/>
      <c r="AB21" s="504"/>
      <c r="AC21" s="507"/>
      <c r="AD21" s="2">
        <v>1</v>
      </c>
    </row>
    <row r="22" spans="1:30" s="2" customFormat="1" x14ac:dyDescent="0.3">
      <c r="A22" s="517"/>
      <c r="B22" s="502"/>
      <c r="C22" s="502"/>
      <c r="D22" s="502"/>
      <c r="E22" s="502"/>
      <c r="F22" s="502"/>
      <c r="G22" s="505"/>
      <c r="H22" s="511"/>
      <c r="I22" s="505"/>
      <c r="J22" s="505"/>
      <c r="K22" s="502"/>
      <c r="L22" s="502"/>
      <c r="M22" s="502"/>
      <c r="N22" s="514"/>
      <c r="O22" s="502"/>
      <c r="P22" s="502"/>
      <c r="Q22" s="505"/>
      <c r="R22" s="511"/>
      <c r="S22" s="502"/>
      <c r="T22" s="242"/>
      <c r="U22" s="502"/>
      <c r="V22" s="238"/>
      <c r="W22" s="242"/>
      <c r="X22" s="239"/>
      <c r="Y22" s="238"/>
      <c r="Z22" s="238"/>
      <c r="AA22" s="502"/>
      <c r="AB22" s="505"/>
      <c r="AC22" s="508"/>
      <c r="AD22" s="2">
        <v>1</v>
      </c>
    </row>
    <row r="23" spans="1:30" x14ac:dyDescent="0.3">
      <c r="A23" s="14"/>
      <c r="B23" s="14"/>
      <c r="C23" s="14"/>
      <c r="D23" s="14"/>
      <c r="E23" s="14"/>
      <c r="F23" s="14"/>
      <c r="G23" s="15"/>
      <c r="H23" s="16"/>
      <c r="I23" s="105"/>
      <c r="J23" s="105"/>
      <c r="K23" s="14"/>
      <c r="L23" s="14"/>
      <c r="M23" s="14"/>
      <c r="N23" s="29"/>
      <c r="O23" s="14"/>
      <c r="P23" s="14"/>
      <c r="Q23" s="15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8">
        <v>2</v>
      </c>
    </row>
  </sheetData>
  <sheetProtection password="EB34" sheet="1" objects="1" scenarios="1" formatCells="0" formatColumns="0" formatRows="0"/>
  <mergeCells count="27">
    <mergeCell ref="E2:F2"/>
    <mergeCell ref="O2:P2"/>
    <mergeCell ref="Y2:AA2"/>
    <mergeCell ref="T2:U2"/>
    <mergeCell ref="A9:A22"/>
    <mergeCell ref="U9:U22"/>
    <mergeCell ref="O9:O22"/>
    <mergeCell ref="P9:P22"/>
    <mergeCell ref="Q9:Q22"/>
    <mergeCell ref="R9:R22"/>
    <mergeCell ref="S9:S22"/>
    <mergeCell ref="AA9:AA22"/>
    <mergeCell ref="B9:B22"/>
    <mergeCell ref="AB9:AB22"/>
    <mergeCell ref="C9:C22"/>
    <mergeCell ref="AC9:AC22"/>
    <mergeCell ref="D9:D22"/>
    <mergeCell ref="E9:E22"/>
    <mergeCell ref="F9:F22"/>
    <mergeCell ref="G9:G22"/>
    <mergeCell ref="H9:H22"/>
    <mergeCell ref="I9:I22"/>
    <mergeCell ref="J9:J22"/>
    <mergeCell ref="K9:K22"/>
    <mergeCell ref="L9:L22"/>
    <mergeCell ref="M9:M22"/>
    <mergeCell ref="N9:N2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theme="3" tint="0.39997558519241921"/>
  </sheetPr>
  <dimension ref="A1:AG21"/>
  <sheetViews>
    <sheetView showGridLines="0" topLeftCell="I1" zoomScale="50" zoomScaleNormal="50" workbookViewId="0">
      <pane ySplit="8" topLeftCell="A9" activePane="bottomLeft" state="frozen"/>
      <selection pane="bottomLeft" activeCell="W12" sqref="W12"/>
    </sheetView>
  </sheetViews>
  <sheetFormatPr defaultColWidth="0" defaultRowHeight="18" x14ac:dyDescent="0.3"/>
  <cols>
    <col min="1" max="1" width="9.109375" style="8" customWidth="1"/>
    <col min="2" max="2" width="47.109375" style="8" customWidth="1"/>
    <col min="3" max="3" width="33.33203125" style="8" customWidth="1"/>
    <col min="4" max="6" width="33.6640625" style="8" customWidth="1"/>
    <col min="7" max="8" width="22.33203125" style="8" customWidth="1"/>
    <col min="9" max="9" width="24.33203125" style="8" customWidth="1"/>
    <col min="10" max="10" width="28.44140625" style="8" customWidth="1"/>
    <col min="11" max="12" width="19.5546875" style="8" customWidth="1"/>
    <col min="13" max="13" width="25.6640625" style="8" customWidth="1"/>
    <col min="14" max="14" width="24.44140625" style="8" bestFit="1" customWidth="1"/>
    <col min="15" max="15" width="24.44140625" style="8" customWidth="1"/>
    <col min="16" max="16" width="31.5546875" style="8" customWidth="1"/>
    <col min="17" max="18" width="21.88671875" style="8" customWidth="1"/>
    <col min="19" max="19" width="23.5546875" style="8" customWidth="1"/>
    <col min="20" max="20" width="31.88671875" style="8" customWidth="1"/>
    <col min="21" max="21" width="27.6640625" style="8" customWidth="1"/>
    <col min="22" max="22" width="25.44140625" style="8" customWidth="1"/>
    <col min="23" max="23" width="25" style="8" customWidth="1"/>
    <col min="24" max="26" width="29.44140625" style="8" customWidth="1"/>
    <col min="27" max="27" width="26.33203125" style="8" customWidth="1"/>
    <col min="28" max="28" width="25.109375" style="8" customWidth="1"/>
    <col min="29" max="29" width="19.109375" style="8" customWidth="1"/>
    <col min="30" max="16384" width="9.109375" style="8" hidden="1"/>
  </cols>
  <sheetData>
    <row r="1" spans="1:33" ht="18.600000000000001" thickBot="1" x14ac:dyDescent="0.35"/>
    <row r="2" spans="1:33" ht="39.9" customHeight="1" thickBot="1" x14ac:dyDescent="0.35">
      <c r="E2" s="436" t="s">
        <v>139</v>
      </c>
      <c r="F2" s="437"/>
      <c r="G2" s="100">
        <f>SUM(G9:G10000)</f>
        <v>742848</v>
      </c>
      <c r="H2" s="15"/>
      <c r="O2" s="436" t="s">
        <v>24</v>
      </c>
      <c r="P2" s="437"/>
      <c r="Q2" s="98">
        <f>SUM(Q9:Q10000)</f>
        <v>683420.16000000003</v>
      </c>
      <c r="T2" s="375" t="s">
        <v>137</v>
      </c>
      <c r="U2" s="377"/>
      <c r="V2" s="87">
        <f>SUM(V9:V10000)</f>
        <v>280857.59999999998</v>
      </c>
      <c r="X2" s="86"/>
      <c r="Y2" s="375" t="s">
        <v>45</v>
      </c>
      <c r="Z2" s="376"/>
      <c r="AA2" s="377"/>
      <c r="AB2" s="88">
        <f>SUM(AB9:AB10000)</f>
        <v>0</v>
      </c>
    </row>
    <row r="4" spans="1:33" ht="39.9" customHeight="1" x14ac:dyDescent="0.3">
      <c r="P4" s="524"/>
      <c r="Q4" s="524"/>
      <c r="R4" s="524"/>
      <c r="T4" s="102"/>
      <c r="U4" s="102"/>
    </row>
    <row r="6" spans="1:33" ht="126" x14ac:dyDescent="0.3">
      <c r="A6" s="1" t="s">
        <v>8</v>
      </c>
      <c r="B6" s="1" t="s">
        <v>47</v>
      </c>
      <c r="C6" s="1" t="s">
        <v>33</v>
      </c>
      <c r="D6" s="1" t="s">
        <v>10</v>
      </c>
      <c r="E6" s="1" t="s">
        <v>11</v>
      </c>
      <c r="F6" s="1" t="s">
        <v>12</v>
      </c>
      <c r="G6" s="1" t="s">
        <v>13</v>
      </c>
      <c r="H6" s="1" t="s">
        <v>34</v>
      </c>
      <c r="I6" s="1" t="s">
        <v>16</v>
      </c>
      <c r="J6" s="1" t="s">
        <v>17</v>
      </c>
      <c r="K6" s="1" t="s">
        <v>14</v>
      </c>
      <c r="L6" s="1" t="s">
        <v>32</v>
      </c>
      <c r="M6" s="1" t="s">
        <v>15</v>
      </c>
      <c r="N6" s="1" t="s">
        <v>0</v>
      </c>
      <c r="O6" s="1" t="s">
        <v>46</v>
      </c>
      <c r="P6" s="1" t="s">
        <v>5</v>
      </c>
      <c r="Q6" s="1" t="s">
        <v>18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7" t="s">
        <v>40</v>
      </c>
      <c r="Y6" s="17" t="s">
        <v>103</v>
      </c>
      <c r="Z6" s="17" t="s">
        <v>104</v>
      </c>
      <c r="AA6" s="17" t="s">
        <v>41</v>
      </c>
      <c r="AB6" s="1" t="s">
        <v>43</v>
      </c>
      <c r="AC6" s="1" t="s">
        <v>42</v>
      </c>
      <c r="AD6" s="16"/>
      <c r="AE6" s="16"/>
      <c r="AF6" s="16"/>
      <c r="AG6" s="16"/>
    </row>
    <row r="7" spans="1:33" x14ac:dyDescent="0.3">
      <c r="A7" s="94">
        <v>1</v>
      </c>
      <c r="B7" s="94">
        <v>2</v>
      </c>
      <c r="C7" s="94">
        <v>3</v>
      </c>
      <c r="D7" s="94">
        <v>4</v>
      </c>
      <c r="E7" s="94">
        <v>5</v>
      </c>
      <c r="F7" s="94">
        <v>6</v>
      </c>
      <c r="G7" s="94">
        <v>7</v>
      </c>
      <c r="H7" s="94">
        <v>8</v>
      </c>
      <c r="I7" s="94">
        <v>9</v>
      </c>
      <c r="J7" s="94">
        <v>10</v>
      </c>
      <c r="K7" s="94">
        <v>11</v>
      </c>
      <c r="L7" s="94">
        <v>12</v>
      </c>
      <c r="M7" s="94">
        <v>13</v>
      </c>
      <c r="N7" s="94">
        <v>14</v>
      </c>
      <c r="O7" s="94">
        <v>15</v>
      </c>
      <c r="P7" s="94">
        <v>16</v>
      </c>
      <c r="Q7" s="94">
        <v>17</v>
      </c>
      <c r="R7" s="94">
        <v>18</v>
      </c>
      <c r="S7" s="94">
        <v>19</v>
      </c>
      <c r="T7" s="94">
        <v>20</v>
      </c>
      <c r="U7" s="94">
        <v>21</v>
      </c>
      <c r="V7" s="94">
        <v>22</v>
      </c>
      <c r="W7" s="94">
        <v>23</v>
      </c>
      <c r="X7" s="94">
        <v>24</v>
      </c>
      <c r="Y7" s="94">
        <v>25</v>
      </c>
      <c r="Z7" s="94">
        <v>26</v>
      </c>
      <c r="AA7" s="94">
        <v>27</v>
      </c>
      <c r="AB7" s="94">
        <v>28</v>
      </c>
      <c r="AC7" s="94">
        <v>29</v>
      </c>
      <c r="AD7" s="16"/>
      <c r="AE7" s="16"/>
      <c r="AF7" s="16"/>
      <c r="AG7" s="16"/>
    </row>
    <row r="8" spans="1:33" s="2" customFormat="1" ht="162" x14ac:dyDescent="0.3">
      <c r="A8" s="26" t="s">
        <v>36</v>
      </c>
      <c r="B8" s="26"/>
      <c r="C8" s="26" t="s">
        <v>73</v>
      </c>
      <c r="D8" s="26" t="s">
        <v>74</v>
      </c>
      <c r="E8" s="26" t="s">
        <v>71</v>
      </c>
      <c r="F8" s="26" t="s">
        <v>72</v>
      </c>
      <c r="G8" s="24">
        <v>15500.01</v>
      </c>
      <c r="H8" s="24">
        <f t="shared" ref="H8" si="0">G8-Q8</f>
        <v>6725</v>
      </c>
      <c r="I8" s="37">
        <v>6</v>
      </c>
      <c r="J8" s="37">
        <v>0</v>
      </c>
      <c r="K8" s="26" t="s">
        <v>75</v>
      </c>
      <c r="L8" s="26" t="s">
        <v>76</v>
      </c>
      <c r="M8" s="26" t="s">
        <v>77</v>
      </c>
      <c r="N8" s="25">
        <v>43655</v>
      </c>
      <c r="O8" s="25" t="s">
        <v>79</v>
      </c>
      <c r="P8" s="26" t="s">
        <v>78</v>
      </c>
      <c r="Q8" s="24">
        <v>8775.01</v>
      </c>
      <c r="R8" s="24">
        <f>Q8-V8</f>
        <v>0</v>
      </c>
      <c r="S8" s="26" t="s">
        <v>80</v>
      </c>
      <c r="T8" s="25">
        <v>43677</v>
      </c>
      <c r="U8" s="26" t="s">
        <v>81</v>
      </c>
      <c r="V8" s="24">
        <v>8775.01</v>
      </c>
      <c r="W8" s="25">
        <v>43696</v>
      </c>
      <c r="X8" s="26"/>
      <c r="Y8" s="72"/>
      <c r="Z8" s="72"/>
      <c r="AA8" s="26"/>
      <c r="AB8" s="24"/>
      <c r="AC8" s="13" t="s">
        <v>64</v>
      </c>
    </row>
    <row r="9" spans="1:33" s="108" customFormat="1" ht="168.75" customHeight="1" x14ac:dyDescent="0.3">
      <c r="A9" s="515">
        <v>1</v>
      </c>
      <c r="B9" s="500"/>
      <c r="C9" s="500" t="s">
        <v>226</v>
      </c>
      <c r="D9" s="500" t="s">
        <v>147</v>
      </c>
      <c r="E9" s="500" t="s">
        <v>228</v>
      </c>
      <c r="F9" s="500" t="s">
        <v>148</v>
      </c>
      <c r="G9" s="503">
        <v>742848</v>
      </c>
      <c r="H9" s="509">
        <f>IF(AD9 = 1, G9 - Q9,0)</f>
        <v>59427.839999999967</v>
      </c>
      <c r="I9" s="503">
        <v>3</v>
      </c>
      <c r="J9" s="503">
        <v>0</v>
      </c>
      <c r="K9" s="500" t="s">
        <v>179</v>
      </c>
      <c r="L9" s="500"/>
      <c r="M9" s="500" t="s">
        <v>227</v>
      </c>
      <c r="N9" s="512">
        <v>44915</v>
      </c>
      <c r="O9" s="518">
        <v>2304067057</v>
      </c>
      <c r="P9" s="500" t="s">
        <v>177</v>
      </c>
      <c r="Q9" s="503">
        <v>683420.16000000003</v>
      </c>
      <c r="R9" s="509">
        <f>IF(AD9 = 1, Q9 + SUM(Y9:Y12) - SUM(Z9:Z12) - SUM(V9:V12) - AB9,0)</f>
        <v>402562.56000000006</v>
      </c>
      <c r="S9" s="521"/>
      <c r="T9" s="240">
        <v>44957</v>
      </c>
      <c r="U9" s="500" t="s">
        <v>181</v>
      </c>
      <c r="V9" s="234">
        <v>72554.880000000005</v>
      </c>
      <c r="W9" s="240">
        <v>44965</v>
      </c>
      <c r="X9" s="235"/>
      <c r="Y9" s="234"/>
      <c r="Z9" s="234"/>
      <c r="AA9" s="500"/>
      <c r="AB9" s="503"/>
      <c r="AC9" s="506"/>
      <c r="AD9" s="108">
        <v>1</v>
      </c>
    </row>
    <row r="10" spans="1:33" s="2" customFormat="1" x14ac:dyDescent="0.3">
      <c r="A10" s="516"/>
      <c r="B10" s="501"/>
      <c r="C10" s="501"/>
      <c r="D10" s="501"/>
      <c r="E10" s="501"/>
      <c r="F10" s="501"/>
      <c r="G10" s="504"/>
      <c r="H10" s="510"/>
      <c r="I10" s="504"/>
      <c r="J10" s="504"/>
      <c r="K10" s="501"/>
      <c r="L10" s="501"/>
      <c r="M10" s="501"/>
      <c r="N10" s="513"/>
      <c r="O10" s="519"/>
      <c r="P10" s="501"/>
      <c r="Q10" s="504"/>
      <c r="R10" s="510"/>
      <c r="S10" s="522"/>
      <c r="T10" s="241">
        <v>44987</v>
      </c>
      <c r="U10" s="501"/>
      <c r="V10" s="236">
        <v>65533.440000000002</v>
      </c>
      <c r="W10" s="241">
        <v>44995</v>
      </c>
      <c r="X10" s="237"/>
      <c r="Y10" s="236"/>
      <c r="Z10" s="236"/>
      <c r="AA10" s="501"/>
      <c r="AB10" s="504"/>
      <c r="AC10" s="507"/>
      <c r="AD10" s="2">
        <v>1</v>
      </c>
    </row>
    <row r="11" spans="1:33" s="2" customFormat="1" x14ac:dyDescent="0.3">
      <c r="A11" s="516"/>
      <c r="B11" s="501"/>
      <c r="C11" s="501"/>
      <c r="D11" s="501"/>
      <c r="E11" s="501"/>
      <c r="F11" s="501"/>
      <c r="G11" s="504"/>
      <c r="H11" s="510"/>
      <c r="I11" s="504"/>
      <c r="J11" s="504"/>
      <c r="K11" s="501"/>
      <c r="L11" s="501"/>
      <c r="M11" s="501"/>
      <c r="N11" s="513"/>
      <c r="O11" s="519"/>
      <c r="P11" s="501"/>
      <c r="Q11" s="504"/>
      <c r="R11" s="510"/>
      <c r="S11" s="522"/>
      <c r="T11" s="241">
        <v>45020</v>
      </c>
      <c r="U11" s="501"/>
      <c r="V11" s="236">
        <v>72554.880000000005</v>
      </c>
      <c r="W11" s="241">
        <v>45022</v>
      </c>
      <c r="X11" s="237"/>
      <c r="Y11" s="236"/>
      <c r="Z11" s="236"/>
      <c r="AA11" s="501"/>
      <c r="AB11" s="504"/>
      <c r="AC11" s="507"/>
      <c r="AD11" s="2">
        <v>1</v>
      </c>
    </row>
    <row r="12" spans="1:33" s="2" customFormat="1" x14ac:dyDescent="0.3">
      <c r="A12" s="517"/>
      <c r="B12" s="502"/>
      <c r="C12" s="502"/>
      <c r="D12" s="502"/>
      <c r="E12" s="502"/>
      <c r="F12" s="502"/>
      <c r="G12" s="505"/>
      <c r="H12" s="511"/>
      <c r="I12" s="505"/>
      <c r="J12" s="505"/>
      <c r="K12" s="502"/>
      <c r="L12" s="502"/>
      <c r="M12" s="502"/>
      <c r="N12" s="514"/>
      <c r="O12" s="520"/>
      <c r="P12" s="502"/>
      <c r="Q12" s="505"/>
      <c r="R12" s="511"/>
      <c r="S12" s="523"/>
      <c r="T12" s="242">
        <v>45049</v>
      </c>
      <c r="U12" s="502"/>
      <c r="V12" s="238">
        <v>70214.399999999994</v>
      </c>
      <c r="W12" s="242">
        <v>45051</v>
      </c>
      <c r="X12" s="239"/>
      <c r="Y12" s="238"/>
      <c r="Z12" s="238"/>
      <c r="AA12" s="502"/>
      <c r="AB12" s="505"/>
      <c r="AC12" s="508"/>
      <c r="AD12" s="2">
        <v>1</v>
      </c>
    </row>
    <row r="13" spans="1:33" hidden="1" x14ac:dyDescent="0.3">
      <c r="M13" s="3"/>
      <c r="AD13" s="8">
        <v>2</v>
      </c>
    </row>
    <row r="14" spans="1:33" hidden="1" x14ac:dyDescent="0.3">
      <c r="M14" s="3"/>
    </row>
    <row r="15" spans="1:33" hidden="1" x14ac:dyDescent="0.3">
      <c r="M15" s="3"/>
    </row>
    <row r="16" spans="1:33" hidden="1" x14ac:dyDescent="0.3">
      <c r="M16" s="3"/>
    </row>
    <row r="17" spans="13:13" hidden="1" x14ac:dyDescent="0.3">
      <c r="M17" s="3"/>
    </row>
    <row r="18" spans="13:13" hidden="1" x14ac:dyDescent="0.3">
      <c r="M18" s="3"/>
    </row>
    <row r="19" spans="13:13" hidden="1" x14ac:dyDescent="0.3">
      <c r="M19" s="3"/>
    </row>
    <row r="20" spans="13:13" hidden="1" x14ac:dyDescent="0.3">
      <c r="M20" s="3"/>
    </row>
    <row r="21" spans="13:13" hidden="1" x14ac:dyDescent="0.3">
      <c r="M21" s="3"/>
    </row>
  </sheetData>
  <sheetProtection password="EB34" sheet="1" objects="1" scenarios="1" formatCells="0" formatColumns="0" formatRows="0"/>
  <mergeCells count="28">
    <mergeCell ref="P4:R4"/>
    <mergeCell ref="E2:F2"/>
    <mergeCell ref="O2:P2"/>
    <mergeCell ref="Y2:AA2"/>
    <mergeCell ref="T2:U2"/>
    <mergeCell ref="A9:A12"/>
    <mergeCell ref="U9:U12"/>
    <mergeCell ref="AA9:AA12"/>
    <mergeCell ref="B9:B12"/>
    <mergeCell ref="AB9:AB12"/>
    <mergeCell ref="C9:C12"/>
    <mergeCell ref="S9:S12"/>
    <mergeCell ref="AC9:AC12"/>
    <mergeCell ref="D9:D12"/>
    <mergeCell ref="E9:E12"/>
    <mergeCell ref="F9:F12"/>
    <mergeCell ref="G9:G12"/>
    <mergeCell ref="H9:H12"/>
    <mergeCell ref="I9:I12"/>
    <mergeCell ref="J9:J12"/>
    <mergeCell ref="K9:K12"/>
    <mergeCell ref="L9:L12"/>
    <mergeCell ref="M9:M12"/>
    <mergeCell ref="N9:N12"/>
    <mergeCell ref="O9:O12"/>
    <mergeCell ref="P9:P12"/>
    <mergeCell ref="Q9:Q12"/>
    <mergeCell ref="R9:R1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3" tint="0.39997558519241921"/>
  </sheetPr>
  <dimension ref="A1:K83"/>
  <sheetViews>
    <sheetView workbookViewId="0">
      <selection activeCell="F20" sqref="F20"/>
    </sheetView>
  </sheetViews>
  <sheetFormatPr defaultColWidth="9.109375" defaultRowHeight="15.6" x14ac:dyDescent="0.3"/>
  <cols>
    <col min="1" max="1" width="15.33203125" style="52" customWidth="1"/>
    <col min="2" max="2" width="17.44140625" style="50" customWidth="1"/>
    <col min="3" max="3" width="17.33203125" style="50" customWidth="1"/>
    <col min="4" max="4" width="38.88671875" style="50" customWidth="1"/>
    <col min="5" max="5" width="15.5546875" style="50" bestFit="1" customWidth="1"/>
    <col min="6" max="11" width="16.109375" style="50" customWidth="1"/>
    <col min="12" max="16384" width="9.109375" style="50"/>
  </cols>
  <sheetData>
    <row r="1" spans="1:11" x14ac:dyDescent="0.3">
      <c r="A1" s="65">
        <v>68</v>
      </c>
      <c r="B1" s="65">
        <v>28</v>
      </c>
      <c r="C1" s="65">
        <v>9</v>
      </c>
      <c r="D1" s="527" t="s">
        <v>50</v>
      </c>
      <c r="E1" s="48"/>
      <c r="F1" s="80" t="s">
        <v>108</v>
      </c>
      <c r="G1" s="84" t="s">
        <v>108</v>
      </c>
      <c r="H1" s="83" t="s">
        <v>108</v>
      </c>
      <c r="I1" s="82" t="s">
        <v>108</v>
      </c>
      <c r="J1" s="81" t="s">
        <v>108</v>
      </c>
      <c r="K1" s="85" t="s">
        <v>108</v>
      </c>
    </row>
    <row r="2" spans="1:11" x14ac:dyDescent="0.3">
      <c r="A2" s="66" t="s">
        <v>84</v>
      </c>
      <c r="B2" s="65" t="s">
        <v>85</v>
      </c>
      <c r="C2" s="65" t="s">
        <v>86</v>
      </c>
      <c r="D2" s="528"/>
      <c r="E2" s="48"/>
      <c r="F2" s="80">
        <v>48</v>
      </c>
      <c r="G2" s="84">
        <v>47</v>
      </c>
      <c r="H2" s="83">
        <v>1</v>
      </c>
      <c r="I2" s="82">
        <v>1</v>
      </c>
      <c r="J2" s="81">
        <v>1</v>
      </c>
      <c r="K2" s="85">
        <v>1</v>
      </c>
    </row>
    <row r="3" spans="1:11" x14ac:dyDescent="0.3">
      <c r="A3" s="51"/>
      <c r="B3" s="47"/>
      <c r="C3" s="47"/>
      <c r="D3" s="47"/>
      <c r="E3" s="48"/>
      <c r="F3" s="80" t="s">
        <v>109</v>
      </c>
      <c r="G3" s="84" t="s">
        <v>109</v>
      </c>
      <c r="H3" s="83" t="s">
        <v>109</v>
      </c>
      <c r="I3" s="82" t="s">
        <v>109</v>
      </c>
      <c r="J3" s="81" t="s">
        <v>109</v>
      </c>
      <c r="K3" s="85" t="s">
        <v>109</v>
      </c>
    </row>
    <row r="4" spans="1:11" x14ac:dyDescent="0.3">
      <c r="A4" s="61">
        <v>107</v>
      </c>
      <c r="B4" s="62">
        <v>29</v>
      </c>
      <c r="C4" s="62">
        <v>9</v>
      </c>
      <c r="D4" s="529" t="s">
        <v>102</v>
      </c>
      <c r="E4" s="48"/>
      <c r="F4" s="80">
        <v>49</v>
      </c>
      <c r="G4" s="84">
        <v>48</v>
      </c>
      <c r="H4" s="83">
        <v>2</v>
      </c>
      <c r="I4" s="82">
        <v>2</v>
      </c>
      <c r="J4" s="81">
        <v>2</v>
      </c>
      <c r="K4" s="85">
        <v>2</v>
      </c>
    </row>
    <row r="5" spans="1:11" x14ac:dyDescent="0.3">
      <c r="A5" s="61" t="s">
        <v>89</v>
      </c>
      <c r="B5" s="62" t="s">
        <v>88</v>
      </c>
      <c r="C5" s="62" t="s">
        <v>87</v>
      </c>
      <c r="D5" s="530"/>
      <c r="E5" s="48"/>
      <c r="F5" s="48"/>
      <c r="G5" s="48"/>
      <c r="H5" s="49"/>
      <c r="I5" s="49"/>
      <c r="J5" s="49"/>
    </row>
    <row r="6" spans="1:11" x14ac:dyDescent="0.3">
      <c r="A6" s="51"/>
      <c r="B6" s="47"/>
      <c r="C6" s="47"/>
      <c r="D6" s="47"/>
      <c r="E6" s="48"/>
      <c r="F6" s="48"/>
      <c r="G6" s="48"/>
      <c r="H6" s="49"/>
      <c r="I6" s="49"/>
      <c r="J6" s="49"/>
    </row>
    <row r="7" spans="1:11" x14ac:dyDescent="0.3">
      <c r="A7" s="63">
        <v>15</v>
      </c>
      <c r="B7" s="64">
        <v>1</v>
      </c>
      <c r="C7" s="64">
        <v>9</v>
      </c>
      <c r="D7" s="531" t="s">
        <v>52</v>
      </c>
      <c r="E7" s="48"/>
      <c r="F7" s="48"/>
      <c r="G7" s="48"/>
      <c r="H7" s="49"/>
      <c r="I7" s="49"/>
      <c r="J7" s="49"/>
    </row>
    <row r="8" spans="1:11" x14ac:dyDescent="0.3">
      <c r="A8" s="63" t="s">
        <v>90</v>
      </c>
      <c r="B8" s="64" t="s">
        <v>91</v>
      </c>
      <c r="C8" s="64" t="s">
        <v>92</v>
      </c>
      <c r="D8" s="532"/>
      <c r="E8" s="48"/>
      <c r="F8" s="48"/>
      <c r="G8" s="48"/>
      <c r="H8" s="49"/>
      <c r="I8" s="49"/>
      <c r="J8" s="49"/>
    </row>
    <row r="9" spans="1:11" x14ac:dyDescent="0.3">
      <c r="A9" s="51"/>
      <c r="B9" s="47"/>
      <c r="C9" s="47"/>
      <c r="D9" s="47"/>
      <c r="E9" s="47"/>
      <c r="F9" s="47"/>
      <c r="G9" s="47"/>
    </row>
    <row r="10" spans="1:11" x14ac:dyDescent="0.3">
      <c r="A10" s="59">
        <v>9</v>
      </c>
      <c r="B10" s="60">
        <v>1</v>
      </c>
      <c r="C10" s="60">
        <v>9</v>
      </c>
      <c r="D10" s="533" t="s">
        <v>31</v>
      </c>
      <c r="E10" s="47"/>
      <c r="F10" s="47"/>
      <c r="G10" s="47"/>
    </row>
    <row r="11" spans="1:11" x14ac:dyDescent="0.3">
      <c r="A11" s="59" t="s">
        <v>93</v>
      </c>
      <c r="B11" s="60" t="s">
        <v>94</v>
      </c>
      <c r="C11" s="60" t="s">
        <v>95</v>
      </c>
      <c r="D11" s="534"/>
      <c r="E11" s="47"/>
      <c r="F11" s="47"/>
      <c r="G11" s="47"/>
    </row>
    <row r="12" spans="1:11" x14ac:dyDescent="0.3">
      <c r="A12" s="51"/>
      <c r="B12" s="47"/>
      <c r="C12" s="47"/>
      <c r="D12" s="47"/>
      <c r="E12" s="47"/>
      <c r="F12" s="47"/>
      <c r="G12" s="47"/>
    </row>
    <row r="13" spans="1:11" x14ac:dyDescent="0.3">
      <c r="A13" s="57">
        <v>22</v>
      </c>
      <c r="B13" s="58">
        <v>1</v>
      </c>
      <c r="C13" s="58">
        <v>9</v>
      </c>
      <c r="D13" s="535" t="s">
        <v>49</v>
      </c>
      <c r="E13" s="47"/>
      <c r="F13" s="47"/>
      <c r="G13" s="47"/>
    </row>
    <row r="14" spans="1:11" x14ac:dyDescent="0.3">
      <c r="A14" s="57" t="s">
        <v>96</v>
      </c>
      <c r="B14" s="58" t="s">
        <v>97</v>
      </c>
      <c r="C14" s="58" t="s">
        <v>98</v>
      </c>
      <c r="D14" s="536"/>
      <c r="E14" s="47"/>
      <c r="F14" s="47"/>
      <c r="G14" s="47"/>
    </row>
    <row r="15" spans="1:11" x14ac:dyDescent="0.3">
      <c r="A15" s="51"/>
      <c r="B15" s="47"/>
      <c r="C15" s="47"/>
      <c r="D15" s="47"/>
      <c r="E15" s="47"/>
      <c r="F15" s="47"/>
      <c r="G15" s="47"/>
    </row>
    <row r="16" spans="1:11" x14ac:dyDescent="0.3">
      <c r="A16" s="55">
        <v>12</v>
      </c>
      <c r="B16" s="56">
        <v>1</v>
      </c>
      <c r="C16" s="56">
        <v>9</v>
      </c>
      <c r="D16" s="525" t="s">
        <v>83</v>
      </c>
      <c r="E16" s="47"/>
      <c r="F16" s="47"/>
      <c r="G16" s="47"/>
    </row>
    <row r="17" spans="1:4" x14ac:dyDescent="0.3">
      <c r="A17" s="55" t="s">
        <v>99</v>
      </c>
      <c r="B17" s="56" t="s">
        <v>100</v>
      </c>
      <c r="C17" s="56" t="s">
        <v>101</v>
      </c>
      <c r="D17" s="526"/>
    </row>
    <row r="18" spans="1:4" x14ac:dyDescent="0.3">
      <c r="A18" s="51"/>
    </row>
    <row r="19" spans="1:4" x14ac:dyDescent="0.3">
      <c r="A19" s="51"/>
    </row>
    <row r="20" spans="1:4" x14ac:dyDescent="0.3">
      <c r="A20" s="51"/>
    </row>
    <row r="21" spans="1:4" x14ac:dyDescent="0.3">
      <c r="A21" s="51"/>
    </row>
    <row r="22" spans="1:4" x14ac:dyDescent="0.3">
      <c r="A22" s="51"/>
    </row>
    <row r="23" spans="1:4" x14ac:dyDescent="0.3">
      <c r="A23" s="51"/>
    </row>
    <row r="24" spans="1:4" x14ac:dyDescent="0.3">
      <c r="A24" s="51"/>
    </row>
    <row r="25" spans="1:4" x14ac:dyDescent="0.3">
      <c r="A25" s="51"/>
    </row>
    <row r="26" spans="1:4" x14ac:dyDescent="0.3">
      <c r="A26" s="51"/>
    </row>
    <row r="27" spans="1:4" x14ac:dyDescent="0.3">
      <c r="A27" s="51"/>
    </row>
    <row r="28" spans="1:4" x14ac:dyDescent="0.3">
      <c r="A28" s="51"/>
    </row>
    <row r="29" spans="1:4" x14ac:dyDescent="0.3">
      <c r="A29" s="51"/>
    </row>
    <row r="30" spans="1:4" x14ac:dyDescent="0.3">
      <c r="A30" s="51"/>
    </row>
    <row r="31" spans="1:4" x14ac:dyDescent="0.3">
      <c r="A31" s="51"/>
    </row>
    <row r="32" spans="1:4" x14ac:dyDescent="0.3">
      <c r="A32" s="51"/>
    </row>
    <row r="33" spans="1:1" x14ac:dyDescent="0.3">
      <c r="A33" s="51"/>
    </row>
    <row r="34" spans="1:1" x14ac:dyDescent="0.3">
      <c r="A34" s="51"/>
    </row>
    <row r="35" spans="1:1" x14ac:dyDescent="0.3">
      <c r="A35" s="51"/>
    </row>
    <row r="36" spans="1:1" x14ac:dyDescent="0.3">
      <c r="A36" s="51"/>
    </row>
    <row r="37" spans="1:1" x14ac:dyDescent="0.3">
      <c r="A37" s="51"/>
    </row>
    <row r="38" spans="1:1" x14ac:dyDescent="0.3">
      <c r="A38" s="51"/>
    </row>
    <row r="39" spans="1:1" x14ac:dyDescent="0.3">
      <c r="A39" s="51"/>
    </row>
    <row r="40" spans="1:1" x14ac:dyDescent="0.3">
      <c r="A40" s="51"/>
    </row>
    <row r="41" spans="1:1" x14ac:dyDescent="0.3">
      <c r="A41" s="51"/>
    </row>
    <row r="42" spans="1:1" x14ac:dyDescent="0.3">
      <c r="A42" s="51"/>
    </row>
    <row r="43" spans="1:1" x14ac:dyDescent="0.3">
      <c r="A43" s="51"/>
    </row>
    <row r="44" spans="1:1" x14ac:dyDescent="0.3">
      <c r="A44" s="51"/>
    </row>
    <row r="45" spans="1:1" x14ac:dyDescent="0.3">
      <c r="A45" s="51"/>
    </row>
    <row r="81" spans="1:1" x14ac:dyDescent="0.3">
      <c r="A81" s="53"/>
    </row>
    <row r="82" spans="1:1" x14ac:dyDescent="0.3">
      <c r="A82" s="53"/>
    </row>
    <row r="83" spans="1:1" x14ac:dyDescent="0.3">
      <c r="A83" s="54"/>
    </row>
  </sheetData>
  <mergeCells count="6">
    <mergeCell ref="D16:D17"/>
    <mergeCell ref="D1:D2"/>
    <mergeCell ref="D4:D5"/>
    <mergeCell ref="D7:D8"/>
    <mergeCell ref="D10:D11"/>
    <mergeCell ref="D13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Общая информация</vt:lpstr>
      <vt:lpstr>Ед. поставщик п.4 ч.1</vt:lpstr>
      <vt:lpstr>Ед. поставщик п.5 ч.1</vt:lpstr>
      <vt:lpstr>Ед.поставщик за искл. п.4,5 ч.1</vt:lpstr>
      <vt:lpstr>Состоявшиеся аукционы</vt:lpstr>
      <vt:lpstr>Несостоявшиеся аукционы</vt:lpstr>
      <vt:lpstr>Иные конкурентные закупки</vt:lpstr>
      <vt:lpstr>Настройки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Компьютер № 3</dc:creator>
  <cp:lastModifiedBy>Владелец</cp:lastModifiedBy>
  <cp:lastPrinted>2019-09-24T06:31:40Z</cp:lastPrinted>
  <dcterms:created xsi:type="dcterms:W3CDTF">2017-01-25T04:28:39Z</dcterms:created>
  <dcterms:modified xsi:type="dcterms:W3CDTF">2023-06-01T11:23:51Z</dcterms:modified>
</cp:coreProperties>
</file>