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23040" windowHeight="8616" tabRatio="603" firstSheet="3" activeTab="4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G2" i="17" l="1"/>
  <c r="Q2" i="17"/>
  <c r="V2" i="17"/>
  <c r="AB2" i="17"/>
  <c r="G2" i="22"/>
  <c r="Q2" i="22"/>
  <c r="V2" i="22"/>
  <c r="AB2" i="22"/>
  <c r="G2" i="19"/>
  <c r="N2" i="19"/>
  <c r="T2" i="19"/>
  <c r="H2" i="27"/>
  <c r="P2" i="27"/>
  <c r="V2" i="27"/>
  <c r="H2" i="31"/>
  <c r="P2" i="31"/>
  <c r="V2" i="31"/>
  <c r="I76" i="31" l="1"/>
  <c r="I75" i="31"/>
  <c r="H9" i="17" l="1"/>
  <c r="R9" i="17"/>
  <c r="H9" i="22"/>
  <c r="R9" i="22"/>
  <c r="I14" i="27"/>
  <c r="I11" i="31"/>
  <c r="I37" i="31"/>
  <c r="I47" i="31"/>
  <c r="I61" i="31"/>
  <c r="I59" i="31"/>
  <c r="I9" i="27"/>
  <c r="I22" i="31"/>
  <c r="I49" i="31"/>
  <c r="I9" i="31"/>
  <c r="I15" i="31"/>
  <c r="I74" i="31" l="1"/>
  <c r="I73" i="31"/>
  <c r="I17" i="27"/>
  <c r="I13" i="27"/>
  <c r="I72" i="31"/>
  <c r="I71" i="31"/>
  <c r="I69" i="31"/>
  <c r="I57" i="31" l="1"/>
  <c r="I65" i="31"/>
  <c r="G2" i="20" l="1"/>
  <c r="Q2" i="20"/>
  <c r="V2" i="20"/>
  <c r="AB2" i="20"/>
  <c r="I12" i="27"/>
  <c r="I11" i="27"/>
  <c r="I18" i="27"/>
  <c r="H12" i="19" l="1"/>
  <c r="I68" i="31" l="1"/>
  <c r="I67" i="31" l="1"/>
  <c r="I55" i="31" l="1"/>
  <c r="I35" i="31"/>
  <c r="I34" i="31"/>
  <c r="I29" i="31"/>
  <c r="I24" i="31"/>
  <c r="H9" i="19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D12" i="21"/>
  <c r="J12" i="21"/>
  <c r="D19" i="21"/>
  <c r="G14" i="21" l="1"/>
  <c r="M14" i="21" s="1"/>
  <c r="G12" i="21"/>
  <c r="M13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<sst xmlns="http://schemas.openxmlformats.org/spreadsheetml/2006/main" count="707" uniqueCount="251">
  <si>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</si>
  <si>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</si>
  <si>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</si>
  <si>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</si>
  <si>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</si>
  <si>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</si>
  <si>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</si>
  <si>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</si>
  <si>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</si>
  <si>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</si>
  <si>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</si>
  <si>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</si>
  <si>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</si>
  <si>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</si>
  <si>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</si>
  <si>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</si>
  <si>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</si>
  <si>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</si>
  <si>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</si>
  <si>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</si>
  <si>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</si>
  <si>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</si>
  <si>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</si>
  <si>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</si>
  <si>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</si>
  <si>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</si>
  <si>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</si>
  <si>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</si>
  <si>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</si>
  <si>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</si>
  <si>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</si>
  <si>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</si>
  <si>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</si>
  <si>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</si>
  <si>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</si>
  <si>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</si>
  <si>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</si>
  <si>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</si>
  <si>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</si>
  <si>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</si>
  <si>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</si>
  <si>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</si>
  <si>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</si>
  <si>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</si>
  <si>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</si>
  <si>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</si>
  <si>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</si>
  <si>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</si>
  <si>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</si>
  <si>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</si>
  <si>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</si>
  <si>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</si>
  <si>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</si>
  <si>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</si>
  <si>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</si>
  <si>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</si>
  <si>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</si>
  <si>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</si>
  <si>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</si>
  <si>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</si>
  <si>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</si>
  <si>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</si>
  <si>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</si>
  <si>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</si>
  <si>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</si>
  <si>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</si>
  <si>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</si>
  <si>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</si>
  <si>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</si>
  <si>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</si>
  <si>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</si>
  <si>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</si>
  <si>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</si>
  <si>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</si>
  <si>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</si>
  <si>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</si>
  <si>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</si>
  <si>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</si>
  <si>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</si>
  <si>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</si>
  <si>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</si>
  <si>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</si>
  <si>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</si>
  <si>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</si>
  <si>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</si>
  <si>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</si>
  <si>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</si>
  <si>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</si>
  <si>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</si>
  <si>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</si>
  <si>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</si>
  <si>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</si>
  <si>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</si>
  <si>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</si>
  <si>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</si>
  <si>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</si>
  <si>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</si>
  <si>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</si>
  <si>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</si>
  <si>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</si>
  <si>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</si>
  <si>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</si>
  <si>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</si>
  <si>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</si>
  <si>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</si>
  <si>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</si>
  <si>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</si>
  <si>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</si>
  <si>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</si>
  <si>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</si>
  <si>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</si>
  <si>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</si>
  <si>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</si>
  <si>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</si>
  <si>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</si>
  <si>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</si>
  <si>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</si>
  <si>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</si>
  <si>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</si>
  <si>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</si>
  <si>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</si>
  <si>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</si>
  <si>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</si>
  <si>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</si>
  <si>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</si>
  <si>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</si>
  <si>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</si>
  <si>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</si>
  <si>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</si>
  <si>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</si>
  <si>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</si>
  <si>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</si>
  <si>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</si>
  <si>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</si>
  <si>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</si>
  <si>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</si>
  <si>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</si>
  <si>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</si>
  <si>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</si>
  <si>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</si>
  <si>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</si>
  <si>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</si>
  <si>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</si>
  <si>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</si>
  <si>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</si>
  <si>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</si>
  <si>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</si>
  <si>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</si>
  <si>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</si>
  <si>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</si>
  <si>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</si>
  <si>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</si>
  <si>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</si>
  <si>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</si>
  <si>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</si>
  <si>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</si>
  <si>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</si>
  <si>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</si>
  <si>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</si>
  <si>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ИП Барма</t>
  </si>
  <si>
    <t>МБОУ СОШ №6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</si>
  <si>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</si>
  <si>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</si>
  <si>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</si>
  <si>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</si>
  <si>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</si>
  <si>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</si>
  <si>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</si>
  <si>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</si>
  <si>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</si>
  <si>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</si>
  <si>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</si>
  <si>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</si>
  <si>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</si>
  <si>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</si>
  <si>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</si>
  <si>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</si>
  <si>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питания детей</t>
  </si>
  <si>
    <t>2353020735</t>
  </si>
  <si>
    <t>ООО "Тимашевское ПРТ райпо"</t>
  </si>
  <si>
    <t>0818300019923000374</t>
  </si>
  <si>
    <t>Услуги частной охраны (Выставление поста охраны)</t>
  </si>
  <si>
    <t>Общество с ограниченной ответственностью Частная охранная организация "Легион"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</si>
  <si>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</si>
  <si>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</si>
  <si>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</si>
  <si>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</si>
  <si>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</si>
  <si>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</si>
  <si>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</si>
  <si>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</si>
  <si>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ремонт автобуса</t>
  </si>
  <si>
    <t>243235301409723530100100140015629244</t>
  </si>
  <si>
    <t>0818300019924000321</t>
  </si>
  <si>
    <t>32353014097 24 000007</t>
  </si>
  <si>
    <t>24 32353014097235301001 0015 001 8010 244</t>
  </si>
  <si>
    <t>32353014097 24 000008</t>
  </si>
  <si>
    <t>0818300019924000328</t>
  </si>
  <si>
    <t>оказание услуг по организации питания многодетные</t>
  </si>
  <si>
    <t>2024.478899</t>
  </si>
  <si>
    <t>ООО "Альянс Розница"</t>
  </si>
  <si>
    <t>ДГ-25/109</t>
  </si>
  <si>
    <t>18/25</t>
  </si>
  <si>
    <t>34001035</t>
  </si>
  <si>
    <t>ТО кнопки тревожной сигнализации</t>
  </si>
  <si>
    <t xml:space="preserve">оказание услуг  по организации питания учащихся </t>
  </si>
  <si>
    <t>К029149/25</t>
  </si>
  <si>
    <t>программное обеспечение</t>
  </si>
  <si>
    <t>ОА "ПФ "СКБ Контур"</t>
  </si>
  <si>
    <t>в течение 10 (десяти) рабочих дней с момента его получения путем перечисления 30% суммы, указанной в счете. Оставшиеся 70% Лицензиат обязан оплатить в течение 10 (десяти) рабочих дней с даты, указанной в акте сдачи-приемки или УПД.</t>
  </si>
  <si>
    <t>ИП Аполонов</t>
  </si>
  <si>
    <t>210012514659-122024</t>
  </si>
  <si>
    <t>услуга по идентификации АСН в ГАИС "ЭРА-ГЛОНАСС"</t>
  </si>
  <si>
    <t>7703383783</t>
  </si>
  <si>
    <t>АО "ГЛОНАСС"</t>
  </si>
  <si>
    <t>23-12034</t>
  </si>
  <si>
    <t>Полиграфическая продукция</t>
  </si>
  <si>
    <t>7706526550</t>
  </si>
  <si>
    <t>ООО "СБМ"</t>
  </si>
  <si>
    <t>А0174377</t>
  </si>
  <si>
    <t>Поставка учебной литературы</t>
  </si>
  <si>
    <t>АО "Издательство "Просвещение"</t>
  </si>
  <si>
    <t>А0172245</t>
  </si>
  <si>
    <t>Поставка учебников</t>
  </si>
  <si>
    <t>до 30 июня 2025</t>
  </si>
  <si>
    <t>В течение 10 рабочих дней со дня подписания Заказчиком УПД</t>
  </si>
  <si>
    <t>Поставка мебели</t>
  </si>
  <si>
    <t>235306300848</t>
  </si>
  <si>
    <t>Самозанятый гражданин Егорова Виктория Павловна</t>
  </si>
  <si>
    <t>6/25</t>
  </si>
  <si>
    <t>Дезинфекция</t>
  </si>
  <si>
    <t>ООО "Дезинфекция"</t>
  </si>
  <si>
    <t>Шины</t>
  </si>
  <si>
    <t>235303483777</t>
  </si>
  <si>
    <t>06/26.02</t>
  </si>
  <si>
    <t>ООО "Вольный странник"</t>
  </si>
  <si>
    <t>книги</t>
  </si>
  <si>
    <t>Мясорубка</t>
  </si>
  <si>
    <t>ИП Латышева</t>
  </si>
  <si>
    <t>Услуги связи</t>
  </si>
  <si>
    <t>7707049388</t>
  </si>
  <si>
    <t>ПАО "Ростелеком"</t>
  </si>
  <si>
    <t>баннеры</t>
  </si>
  <si>
    <t>235303800426</t>
  </si>
  <si>
    <t>ИП Шашанков</t>
  </si>
  <si>
    <t>Форма</t>
  </si>
  <si>
    <t>ИП Котляров Е.В.</t>
  </si>
  <si>
    <t>97</t>
  </si>
  <si>
    <t>медосмотр</t>
  </si>
  <si>
    <t>ГБУЗ "Тимашевская ЦРБ"</t>
  </si>
  <si>
    <t>2025.080044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</si>
</sst>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48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>
      <alignment horizontal="center" vertical="center" wrapText="1"/>
    </xf>
    <xf numFmtId="49" fontId="1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 applyProtection="1">
      <alignment horizontal="center" vertical="center" wrapText="1"/>
      <protection locked="0"/>
    </xf>
    <xf numFmtId="7" fontId="1" fillId="0" borderId="39" xfId="0" applyNumberFormat="1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>
      <alignment horizontal="center" vertical="center" wrapText="1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68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0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3" xfId="0" applyFont="1" applyBorder="1" applyAlignment="1" applyProtection="1">
      <alignment vertical="center"/>
      <protection locked="0"/>
    </xf>
    <xf numFmtId="0" fontId="16" fillId="0" borderId="59" xfId="0" applyFont="1" applyBorder="1" applyAlignment="1" applyProtection="1">
      <alignment vertical="center"/>
      <protection locked="0"/>
    </xf>
    <xf numFmtId="0" fontId="17" fillId="4" borderId="53" xfId="0" applyFont="1" applyFill="1" applyBorder="1" applyAlignment="1" applyProtection="1">
      <alignment vertical="center" wrapText="1"/>
      <protection locked="0"/>
    </xf>
    <xf numFmtId="0" fontId="17" fillId="4" borderId="59" xfId="0" applyFont="1" applyFill="1" applyBorder="1" applyAlignment="1" applyProtection="1">
      <alignment vertical="center" wrapText="1"/>
      <protection locked="0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6583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4</xdr:row>
      <xdr:rowOff>874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4</xdr:row>
      <xdr:rowOff>873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10" zoomScale="70" zoomScaleNormal="70" workbookViewId="0">
      <selection activeCell="D12" sqref="D12:F12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239" t="s">
        <v>141</v>
      </c>
      <c r="B1" s="240"/>
      <c r="C1" s="240"/>
      <c r="D1" s="240"/>
      <c r="E1" s="239" t="s">
        <v>160</v>
      </c>
      <c r="F1" s="240"/>
      <c r="G1" s="240"/>
      <c r="H1" s="240"/>
      <c r="I1" s="240"/>
      <c r="J1" s="240"/>
      <c r="K1" s="240"/>
      <c r="L1" s="240"/>
      <c r="M1" s="240"/>
      <c r="N1" s="241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275" t="s">
        <v>25</v>
      </c>
      <c r="B4" s="276"/>
      <c r="C4" s="4">
        <v>13413815.449999999</v>
      </c>
      <c r="D4" s="5"/>
      <c r="E4" s="277" t="s">
        <v>140</v>
      </c>
      <c r="F4" s="278"/>
      <c r="G4" s="279"/>
      <c r="H4" s="280">
        <v>2000000</v>
      </c>
      <c r="I4" s="281"/>
      <c r="J4" s="282"/>
      <c r="K4" s="22"/>
      <c r="L4" s="99" t="s">
        <v>55</v>
      </c>
      <c r="M4" s="277">
        <v>7654713.4400000004</v>
      </c>
      <c r="N4" s="279"/>
    </row>
    <row r="5" spans="1:14" ht="30.75" customHeight="1" thickBot="1" x14ac:dyDescent="0.35">
      <c r="A5" s="275" t="s">
        <v>26</v>
      </c>
      <c r="B5" s="276"/>
      <c r="C5" s="6">
        <f>C4-G15+J15</f>
        <v>5878431.1499999985</v>
      </c>
      <c r="D5" s="5"/>
      <c r="E5" s="277" t="s">
        <v>53</v>
      </c>
      <c r="F5" s="278"/>
      <c r="G5" s="279"/>
      <c r="H5" s="270">
        <f>H4-G12</f>
        <v>1840109.35</v>
      </c>
      <c r="I5" s="271"/>
      <c r="J5" s="272"/>
      <c r="K5" s="22"/>
      <c r="L5" s="99" t="s">
        <v>54</v>
      </c>
      <c r="M5" s="273">
        <f>M4-G13</f>
        <v>4893618.3500000006</v>
      </c>
      <c r="N5" s="274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283" t="s">
        <v>27</v>
      </c>
      <c r="B8" s="284"/>
      <c r="C8" s="285"/>
      <c r="D8" s="283" t="s">
        <v>28</v>
      </c>
      <c r="E8" s="284"/>
      <c r="F8" s="285"/>
      <c r="G8" s="286" t="s">
        <v>29</v>
      </c>
      <c r="H8" s="287"/>
      <c r="I8" s="288"/>
      <c r="J8" s="286" t="s">
        <v>142</v>
      </c>
      <c r="K8" s="287"/>
      <c r="L8" s="288"/>
      <c r="M8" s="283" t="s">
        <v>30</v>
      </c>
      <c r="N8" s="285"/>
    </row>
    <row r="9" spans="1:14" ht="41.25" customHeight="1" thickBot="1" x14ac:dyDescent="0.35">
      <c r="A9" s="261" t="s">
        <v>31</v>
      </c>
      <c r="B9" s="262"/>
      <c r="C9" s="263"/>
      <c r="D9" s="260">
        <f>'Состоявшиеся аукционы'!G2</f>
        <v>740880</v>
      </c>
      <c r="E9" s="260"/>
      <c r="F9" s="260"/>
      <c r="G9" s="260">
        <f>'Состоявшиеся аукционы'!Q2</f>
        <v>674200.8</v>
      </c>
      <c r="H9" s="260"/>
      <c r="I9" s="260"/>
      <c r="J9" s="257">
        <f>'Состоявшиеся аукционы'!AB2</f>
        <v>0</v>
      </c>
      <c r="K9" s="258"/>
      <c r="L9" s="259"/>
      <c r="M9" s="260">
        <f t="shared" ref="M9:M15" si="0">D9-G9</f>
        <v>66679.199999999953</v>
      </c>
      <c r="N9" s="260"/>
    </row>
    <row r="10" spans="1:14" ht="78.75" customHeight="1" thickBot="1" x14ac:dyDescent="0.35">
      <c r="A10" s="261" t="s">
        <v>49</v>
      </c>
      <c r="B10" s="262"/>
      <c r="C10" s="263"/>
      <c r="D10" s="260">
        <f>'Несостоявшиеся аукционы'!G2</f>
        <v>1599844.19</v>
      </c>
      <c r="E10" s="260"/>
      <c r="F10" s="260"/>
      <c r="G10" s="260">
        <f>'Несостоявшиеся аукционы'!Q2</f>
        <v>1599844.19</v>
      </c>
      <c r="H10" s="260"/>
      <c r="I10" s="260"/>
      <c r="J10" s="257">
        <f>'Несостоявшиеся аукционы'!AB2</f>
        <v>0</v>
      </c>
      <c r="K10" s="258"/>
      <c r="L10" s="259"/>
      <c r="M10" s="260">
        <f t="shared" si="0"/>
        <v>0</v>
      </c>
      <c r="N10" s="260"/>
    </row>
    <row r="11" spans="1:14" ht="40.5" customHeight="1" thickBot="1" x14ac:dyDescent="0.35">
      <c r="A11" s="261" t="s">
        <v>83</v>
      </c>
      <c r="B11" s="262"/>
      <c r="C11" s="263"/>
      <c r="D11" s="257">
        <f>'Иные конкурентные закупки'!G2</f>
        <v>0</v>
      </c>
      <c r="E11" s="258"/>
      <c r="F11" s="259"/>
      <c r="G11" s="257">
        <f>'Иные конкурентные закупки'!Q2</f>
        <v>0</v>
      </c>
      <c r="H11" s="258"/>
      <c r="I11" s="259"/>
      <c r="J11" s="257">
        <f>'Иные конкурентные закупки'!AB2</f>
        <v>0</v>
      </c>
      <c r="K11" s="258"/>
      <c r="L11" s="259"/>
      <c r="M11" s="257">
        <f t="shared" si="0"/>
        <v>0</v>
      </c>
      <c r="N11" s="259"/>
    </row>
    <row r="12" spans="1:14" ht="54.75" customHeight="1" thickBot="1" x14ac:dyDescent="0.35">
      <c r="A12" s="264" t="s">
        <v>50</v>
      </c>
      <c r="B12" s="265"/>
      <c r="C12" s="266"/>
      <c r="D12" s="260">
        <f>'Ед. поставщик п.4 ч.1'!H2</f>
        <v>159890.65</v>
      </c>
      <c r="E12" s="260"/>
      <c r="F12" s="260"/>
      <c r="G12" s="260">
        <f>D12</f>
        <v>159890.65</v>
      </c>
      <c r="H12" s="260"/>
      <c r="I12" s="260"/>
      <c r="J12" s="257">
        <f>'Ед. поставщик п.4 ч.1'!V2</f>
        <v>0</v>
      </c>
      <c r="K12" s="258"/>
      <c r="L12" s="259"/>
      <c r="M12" s="260">
        <f t="shared" si="0"/>
        <v>0</v>
      </c>
      <c r="N12" s="260"/>
    </row>
    <row r="13" spans="1:14" ht="45.75" customHeight="1" thickBot="1" x14ac:dyDescent="0.35">
      <c r="A13" s="264" t="s">
        <v>51</v>
      </c>
      <c r="B13" s="265"/>
      <c r="C13" s="266"/>
      <c r="D13" s="260">
        <f>'Ед. поставщик п.5 ч.1'!H2</f>
        <v>2761095.09</v>
      </c>
      <c r="E13" s="260"/>
      <c r="F13" s="260"/>
      <c r="G13" s="260">
        <f>D13</f>
        <v>2761095.09</v>
      </c>
      <c r="H13" s="260"/>
      <c r="I13" s="260"/>
      <c r="J13" s="257">
        <f>'Ед. поставщик п.5 ч.1'!V2</f>
        <v>0</v>
      </c>
      <c r="K13" s="258"/>
      <c r="L13" s="259"/>
      <c r="M13" s="260">
        <f t="shared" si="0"/>
        <v>0</v>
      </c>
      <c r="N13" s="260"/>
    </row>
    <row r="14" spans="1:14" ht="45.75" customHeight="1" thickBot="1" x14ac:dyDescent="0.35">
      <c r="A14" s="254" t="s">
        <v>52</v>
      </c>
      <c r="B14" s="255"/>
      <c r="C14" s="256"/>
      <c r="D14" s="257">
        <f>'Ед.поставщик за искл. п.4,5 ч.1'!G2</f>
        <v>2340353.5699999998</v>
      </c>
      <c r="E14" s="258"/>
      <c r="F14" s="259"/>
      <c r="G14" s="257">
        <f>D14</f>
        <v>2340353.5699999998</v>
      </c>
      <c r="H14" s="258"/>
      <c r="I14" s="259"/>
      <c r="J14" s="257">
        <f>'Ед.поставщик за искл. п.4,5 ч.1'!T2</f>
        <v>0</v>
      </c>
      <c r="K14" s="258"/>
      <c r="L14" s="259"/>
      <c r="M14" s="260">
        <f t="shared" si="0"/>
        <v>0</v>
      </c>
      <c r="N14" s="260"/>
    </row>
    <row r="15" spans="1:14" ht="21.6" thickBot="1" x14ac:dyDescent="0.35">
      <c r="A15" s="267" t="s">
        <v>143</v>
      </c>
      <c r="B15" s="268"/>
      <c r="C15" s="269"/>
      <c r="D15" s="260">
        <f>SUM(D9:D14)</f>
        <v>7602063.5</v>
      </c>
      <c r="E15" s="260"/>
      <c r="F15" s="260"/>
      <c r="G15" s="257">
        <f>SUM(G9:G14)</f>
        <v>7535384.3000000007</v>
      </c>
      <c r="H15" s="258"/>
      <c r="I15" s="259"/>
      <c r="J15" s="257">
        <f>SUM(J9:J14)</f>
        <v>0</v>
      </c>
      <c r="K15" s="258"/>
      <c r="L15" s="259"/>
      <c r="M15" s="260">
        <f t="shared" si="0"/>
        <v>66679.199999999255</v>
      </c>
      <c r="N15" s="260"/>
    </row>
    <row r="17" spans="1:12" x14ac:dyDescent="0.3">
      <c r="K17" s="153"/>
    </row>
    <row r="18" spans="1:12" ht="15" thickBot="1" x14ac:dyDescent="0.35">
      <c r="K18" s="153"/>
    </row>
    <row r="19" spans="1:12" ht="23.25" customHeight="1" x14ac:dyDescent="0.3">
      <c r="A19" s="242" t="s">
        <v>35</v>
      </c>
      <c r="B19" s="243"/>
      <c r="C19" s="244"/>
      <c r="D19" s="248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2578653.7599999998</v>
      </c>
      <c r="E19" s="249"/>
      <c r="F19" s="249"/>
      <c r="G19" s="250"/>
      <c r="I19" s="20"/>
      <c r="J19" s="20"/>
      <c r="K19" s="20"/>
      <c r="L19" s="20"/>
    </row>
    <row r="20" spans="1:12" ht="24" customHeight="1" thickBot="1" x14ac:dyDescent="0.35">
      <c r="A20" s="245"/>
      <c r="B20" s="246"/>
      <c r="C20" s="247"/>
      <c r="D20" s="251"/>
      <c r="E20" s="252"/>
      <c r="F20" s="252"/>
      <c r="G20" s="253"/>
      <c r="I20" s="20"/>
      <c r="J20" s="20"/>
      <c r="K20" s="20"/>
      <c r="L20" s="20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23"/>
  <sheetViews>
    <sheetView showGridLines="0" topLeftCell="E1" zoomScale="60" zoomScaleNormal="60" workbookViewId="0">
      <pane ySplit="8" topLeftCell="A9" activePane="bottomLeft" state="frozen"/>
      <selection activeCell="I1" sqref="I1"/>
      <selection pane="bottomLeft" activeCell="F5" sqref="F5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3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SUM(H9:H9999)</f>
        <v>159890.65</v>
      </c>
      <c r="K2" s="289"/>
      <c r="L2" s="289"/>
      <c r="M2" s="289"/>
      <c r="N2" s="290" t="s">
        <v>137</v>
      </c>
      <c r="O2" s="292"/>
      <c r="P2" s="87">
        <f>SUM(P9:P9999)</f>
        <v>132829.15</v>
      </c>
      <c r="R2" s="86"/>
      <c r="S2" s="290" t="s">
        <v>45</v>
      </c>
      <c r="T2" s="291"/>
      <c r="U2" s="292"/>
      <c r="V2" s="88">
        <f>SUM(V9:V9999)</f>
        <v>0</v>
      </c>
    </row>
    <row r="3" spans="1:24" x14ac:dyDescent="0.3">
      <c r="A3" s="289"/>
      <c r="B3" s="289"/>
      <c r="C3" s="289"/>
      <c r="D3" s="289"/>
      <c r="E3" s="289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293"/>
      <c r="K4" s="293"/>
      <c r="M4" s="293"/>
      <c r="N4" s="293"/>
      <c r="O4" s="293"/>
      <c r="P4" s="293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5" customFormat="1" ht="144" customHeight="1" x14ac:dyDescent="0.3">
      <c r="A9" s="294">
        <v>1</v>
      </c>
      <c r="B9" s="300" t="s">
        <v>56</v>
      </c>
      <c r="C9" s="300" t="s">
        <v>146</v>
      </c>
      <c r="D9" s="300" t="s">
        <v>147</v>
      </c>
      <c r="E9" s="307" t="s">
        <v>211</v>
      </c>
      <c r="F9" s="296">
        <v>45680</v>
      </c>
      <c r="G9" s="300" t="s">
        <v>212</v>
      </c>
      <c r="H9" s="298">
        <v>15000</v>
      </c>
      <c r="I9" s="309">
        <f>IF(X9 = 23, H9 + SUM(S9:S10) - SUM(T9:T10) - SUM(P9:P10) - V9,0)</f>
        <v>14220</v>
      </c>
      <c r="J9" s="300" t="s">
        <v>213</v>
      </c>
      <c r="K9" s="300" t="s">
        <v>214</v>
      </c>
      <c r="L9" s="300" t="s">
        <v>146</v>
      </c>
      <c r="M9" s="300"/>
      <c r="N9" s="217">
        <v>45688</v>
      </c>
      <c r="O9" s="296" t="s">
        <v>183</v>
      </c>
      <c r="P9" s="208">
        <v>390</v>
      </c>
      <c r="Q9" s="209">
        <v>45706</v>
      </c>
      <c r="R9" s="210"/>
      <c r="S9" s="208"/>
      <c r="T9" s="208"/>
      <c r="U9" s="298"/>
      <c r="V9" s="302"/>
      <c r="W9" s="305"/>
      <c r="X9" s="105">
        <v>23</v>
      </c>
    </row>
    <row r="10" spans="1:24" s="186" customFormat="1" x14ac:dyDescent="0.3">
      <c r="A10" s="295"/>
      <c r="B10" s="301"/>
      <c r="C10" s="301"/>
      <c r="D10" s="301"/>
      <c r="E10" s="308"/>
      <c r="F10" s="297"/>
      <c r="G10" s="301"/>
      <c r="H10" s="299"/>
      <c r="I10" s="310"/>
      <c r="J10" s="301"/>
      <c r="K10" s="301"/>
      <c r="L10" s="301"/>
      <c r="M10" s="301"/>
      <c r="N10" s="219">
        <v>45685</v>
      </c>
      <c r="O10" s="297"/>
      <c r="P10" s="214">
        <v>390</v>
      </c>
      <c r="Q10" s="215">
        <v>45729</v>
      </c>
      <c r="R10" s="216"/>
      <c r="S10" s="214"/>
      <c r="T10" s="214"/>
      <c r="U10" s="299"/>
      <c r="V10" s="303"/>
      <c r="W10" s="306"/>
      <c r="X10" s="186">
        <v>23</v>
      </c>
    </row>
    <row r="11" spans="1:24" s="105" customFormat="1" ht="144" x14ac:dyDescent="0.3">
      <c r="A11" s="147">
        <v>2</v>
      </c>
      <c r="B11" s="148" t="s">
        <v>56</v>
      </c>
      <c r="C11" s="148" t="s">
        <v>146</v>
      </c>
      <c r="D11" s="148" t="s">
        <v>147</v>
      </c>
      <c r="E11" s="173" t="s">
        <v>215</v>
      </c>
      <c r="F11" s="175">
        <v>45702</v>
      </c>
      <c r="G11" s="161" t="s">
        <v>216</v>
      </c>
      <c r="H11" s="149">
        <v>28904.9</v>
      </c>
      <c r="I11" s="150">
        <f>IF(X11 = 35, H11 + SUM(S11:S11) - SUM(T11:T11) - SUM(P11:P11) - V11,0)</f>
        <v>0</v>
      </c>
      <c r="J11" s="148" t="s">
        <v>217</v>
      </c>
      <c r="K11" s="161" t="s">
        <v>218</v>
      </c>
      <c r="L11" s="148" t="s">
        <v>146</v>
      </c>
      <c r="M11" s="148"/>
      <c r="N11" s="175">
        <v>45720</v>
      </c>
      <c r="O11" s="175" t="s">
        <v>183</v>
      </c>
      <c r="P11" s="149">
        <v>28904.9</v>
      </c>
      <c r="Q11" s="151">
        <v>45733</v>
      </c>
      <c r="R11" s="148"/>
      <c r="S11" s="149"/>
      <c r="T11" s="149"/>
      <c r="U11" s="149"/>
      <c r="V11" s="174"/>
      <c r="W11" s="170"/>
      <c r="X11" s="105">
        <v>35</v>
      </c>
    </row>
    <row r="12" spans="1:24" s="105" customFormat="1" ht="144" x14ac:dyDescent="0.3">
      <c r="A12" s="147">
        <v>3</v>
      </c>
      <c r="B12" s="148" t="s">
        <v>56</v>
      </c>
      <c r="C12" s="148" t="s">
        <v>146</v>
      </c>
      <c r="D12" s="148" t="s">
        <v>147</v>
      </c>
      <c r="E12" s="173">
        <v>9</v>
      </c>
      <c r="F12" s="175">
        <v>45713</v>
      </c>
      <c r="G12" s="148" t="s">
        <v>226</v>
      </c>
      <c r="H12" s="149">
        <v>22668</v>
      </c>
      <c r="I12" s="150">
        <f>IF(X12 = 37, H12 + SUM(S12:S12) - SUM(T12:T12) - SUM(P12:P12) - V12,0)</f>
        <v>0</v>
      </c>
      <c r="J12" s="148" t="s">
        <v>227</v>
      </c>
      <c r="K12" s="148" t="s">
        <v>228</v>
      </c>
      <c r="L12" s="148" t="s">
        <v>146</v>
      </c>
      <c r="M12" s="148"/>
      <c r="N12" s="175">
        <v>45713</v>
      </c>
      <c r="O12" s="175" t="s">
        <v>183</v>
      </c>
      <c r="P12" s="149">
        <v>22668</v>
      </c>
      <c r="Q12" s="151">
        <v>45715</v>
      </c>
      <c r="R12" s="148"/>
      <c r="S12" s="149"/>
      <c r="T12" s="149"/>
      <c r="U12" s="149"/>
      <c r="V12" s="174"/>
      <c r="W12" s="170"/>
      <c r="X12" s="105">
        <v>37</v>
      </c>
    </row>
    <row r="13" spans="1:24" s="105" customFormat="1" ht="144" x14ac:dyDescent="0.3">
      <c r="A13" s="187">
        <v>4</v>
      </c>
      <c r="B13" s="188" t="s">
        <v>56</v>
      </c>
      <c r="C13" s="188" t="s">
        <v>146</v>
      </c>
      <c r="D13" s="188" t="s">
        <v>147</v>
      </c>
      <c r="E13" s="206">
        <v>10</v>
      </c>
      <c r="F13" s="196">
        <v>45708</v>
      </c>
      <c r="G13" s="188" t="s">
        <v>232</v>
      </c>
      <c r="H13" s="191">
        <v>66750</v>
      </c>
      <c r="I13" s="192">
        <f>IF(X13 = 40, H13 + SUM(S13:S13) - SUM(T13:T13) - SUM(P13:P13) - V13,0)</f>
        <v>0</v>
      </c>
      <c r="J13" s="188" t="s">
        <v>233</v>
      </c>
      <c r="K13" s="188" t="s">
        <v>210</v>
      </c>
      <c r="L13" s="188" t="s">
        <v>146</v>
      </c>
      <c r="M13" s="188"/>
      <c r="N13" s="196">
        <v>45713</v>
      </c>
      <c r="O13" s="196" t="s">
        <v>183</v>
      </c>
      <c r="P13" s="191">
        <v>66750</v>
      </c>
      <c r="Q13" s="190">
        <v>45715</v>
      </c>
      <c r="R13" s="188"/>
      <c r="S13" s="191"/>
      <c r="T13" s="191"/>
      <c r="U13" s="191"/>
      <c r="V13" s="207"/>
      <c r="W13" s="185"/>
      <c r="X13" s="105">
        <v>40</v>
      </c>
    </row>
    <row r="14" spans="1:24" s="105" customFormat="1" ht="144" customHeight="1" x14ac:dyDescent="0.3">
      <c r="A14" s="294">
        <v>5</v>
      </c>
      <c r="B14" s="300" t="s">
        <v>56</v>
      </c>
      <c r="C14" s="300" t="s">
        <v>146</v>
      </c>
      <c r="D14" s="300" t="s">
        <v>147</v>
      </c>
      <c r="E14" s="307">
        <v>166</v>
      </c>
      <c r="F14" s="296">
        <v>45734</v>
      </c>
      <c r="G14" s="300" t="s">
        <v>239</v>
      </c>
      <c r="H14" s="298">
        <v>15632.75</v>
      </c>
      <c r="I14" s="309">
        <f>IF(X14 = 41, H14 + SUM(S14:S16) - SUM(T14:T16) - SUM(P14:P16) - V14,0)</f>
        <v>12841.5</v>
      </c>
      <c r="J14" s="300" t="s">
        <v>240</v>
      </c>
      <c r="K14" s="300" t="s">
        <v>241</v>
      </c>
      <c r="L14" s="300" t="s">
        <v>146</v>
      </c>
      <c r="M14" s="300"/>
      <c r="N14" s="217">
        <v>45742</v>
      </c>
      <c r="O14" s="296" t="s">
        <v>183</v>
      </c>
      <c r="P14" s="208">
        <v>1317.73</v>
      </c>
      <c r="Q14" s="209">
        <v>45742</v>
      </c>
      <c r="R14" s="210"/>
      <c r="S14" s="208"/>
      <c r="T14" s="208"/>
      <c r="U14" s="298"/>
      <c r="V14" s="302"/>
      <c r="W14" s="305"/>
      <c r="X14" s="105">
        <v>41</v>
      </c>
    </row>
    <row r="15" spans="1:24" s="186" customFormat="1" x14ac:dyDescent="0.3">
      <c r="A15" s="314"/>
      <c r="B15" s="313"/>
      <c r="C15" s="313"/>
      <c r="D15" s="313"/>
      <c r="E15" s="315"/>
      <c r="F15" s="316"/>
      <c r="G15" s="313"/>
      <c r="H15" s="304"/>
      <c r="I15" s="317"/>
      <c r="J15" s="313"/>
      <c r="K15" s="313"/>
      <c r="L15" s="313"/>
      <c r="M15" s="313"/>
      <c r="N15" s="218">
        <v>45742</v>
      </c>
      <c r="O15" s="316"/>
      <c r="P15" s="211">
        <v>337.44</v>
      </c>
      <c r="Q15" s="212">
        <v>45742</v>
      </c>
      <c r="R15" s="213"/>
      <c r="S15" s="211"/>
      <c r="T15" s="211"/>
      <c r="U15" s="304"/>
      <c r="V15" s="311"/>
      <c r="W15" s="312"/>
      <c r="X15" s="186">
        <v>41</v>
      </c>
    </row>
    <row r="16" spans="1:24" s="186" customFormat="1" x14ac:dyDescent="0.3">
      <c r="A16" s="295"/>
      <c r="B16" s="301"/>
      <c r="C16" s="301"/>
      <c r="D16" s="301"/>
      <c r="E16" s="308"/>
      <c r="F16" s="297"/>
      <c r="G16" s="301"/>
      <c r="H16" s="299"/>
      <c r="I16" s="310"/>
      <c r="J16" s="301"/>
      <c r="K16" s="301"/>
      <c r="L16" s="301"/>
      <c r="M16" s="301"/>
      <c r="N16" s="217">
        <v>45742</v>
      </c>
      <c r="O16" s="297"/>
      <c r="P16" s="214">
        <v>1136.08</v>
      </c>
      <c r="Q16" s="209">
        <v>45742</v>
      </c>
      <c r="R16" s="216"/>
      <c r="S16" s="214"/>
      <c r="T16" s="214"/>
      <c r="U16" s="299"/>
      <c r="V16" s="303"/>
      <c r="W16" s="306"/>
      <c r="X16" s="186">
        <v>41</v>
      </c>
    </row>
    <row r="17" spans="1:24" s="105" customFormat="1" ht="144" x14ac:dyDescent="0.3">
      <c r="A17" s="187">
        <v>6</v>
      </c>
      <c r="B17" s="188" t="s">
        <v>56</v>
      </c>
      <c r="C17" s="188" t="s">
        <v>146</v>
      </c>
      <c r="D17" s="188" t="s">
        <v>147</v>
      </c>
      <c r="E17" s="189">
        <v>45735</v>
      </c>
      <c r="F17" s="196">
        <v>45735</v>
      </c>
      <c r="G17" s="188" t="s">
        <v>242</v>
      </c>
      <c r="H17" s="191">
        <v>10935</v>
      </c>
      <c r="I17" s="192">
        <f>IF(X17 = 42, H17 + SUM(S17:S17) - SUM(T17:T17) - SUM(P17:P17) - V17,0)</f>
        <v>0</v>
      </c>
      <c r="J17" s="188" t="s">
        <v>243</v>
      </c>
      <c r="K17" s="188" t="s">
        <v>244</v>
      </c>
      <c r="L17" s="188" t="s">
        <v>146</v>
      </c>
      <c r="M17" s="188"/>
      <c r="N17" s="196">
        <v>45736</v>
      </c>
      <c r="O17" s="196" t="s">
        <v>183</v>
      </c>
      <c r="P17" s="191">
        <v>10935</v>
      </c>
      <c r="Q17" s="190">
        <v>45736</v>
      </c>
      <c r="R17" s="188"/>
      <c r="S17" s="191"/>
      <c r="T17" s="191"/>
      <c r="U17" s="191"/>
      <c r="V17" s="207"/>
      <c r="W17" s="185"/>
      <c r="X17" s="105">
        <v>42</v>
      </c>
    </row>
    <row r="18" spans="1:24" x14ac:dyDescent="0.3">
      <c r="A18" s="159"/>
      <c r="B18" s="160"/>
      <c r="C18" s="161"/>
      <c r="D18" s="161"/>
      <c r="E18" s="197"/>
      <c r="F18" s="176"/>
      <c r="G18" s="161"/>
      <c r="H18" s="165"/>
      <c r="I18" s="166">
        <f>IF(X18 = 35, H18 + SUM(S18:S18) - SUM(T18:T18) - SUM(P18:P18) - V18,0)</f>
        <v>0</v>
      </c>
      <c r="J18" s="161"/>
      <c r="K18" s="161"/>
      <c r="L18" s="161"/>
      <c r="M18" s="161"/>
      <c r="N18" s="176"/>
      <c r="O18" s="176"/>
      <c r="P18" s="165"/>
      <c r="Q18" s="162"/>
      <c r="R18" s="164"/>
      <c r="S18" s="165"/>
      <c r="T18" s="165"/>
      <c r="U18" s="165"/>
      <c r="V18" s="163"/>
      <c r="W18" s="164"/>
      <c r="X18" s="8">
        <v>43</v>
      </c>
    </row>
    <row r="19" spans="1:24" s="2" customFormat="1" x14ac:dyDescent="0.3">
      <c r="A19" s="41"/>
      <c r="B19" s="107"/>
      <c r="C19" s="41"/>
      <c r="D19" s="41"/>
      <c r="E19" s="42"/>
      <c r="F19" s="41"/>
      <c r="G19" s="41"/>
      <c r="H19" s="44"/>
      <c r="I19" s="44"/>
      <c r="J19" s="41"/>
      <c r="K19" s="41"/>
      <c r="L19" s="41"/>
      <c r="M19" s="41"/>
      <c r="N19" s="42"/>
      <c r="O19" s="41"/>
      <c r="P19" s="40"/>
      <c r="Q19" s="42"/>
      <c r="U19" s="42"/>
      <c r="V19" s="40"/>
    </row>
    <row r="20" spans="1:24" s="2" customFormat="1" x14ac:dyDescent="0.3">
      <c r="A20" s="41"/>
      <c r="B20" s="107"/>
      <c r="C20" s="41"/>
      <c r="D20" s="41"/>
      <c r="E20" s="42"/>
      <c r="F20" s="41"/>
      <c r="G20" s="41"/>
      <c r="H20" s="44"/>
      <c r="I20" s="44"/>
      <c r="J20" s="41"/>
      <c r="K20" s="41"/>
      <c r="L20" s="41"/>
      <c r="M20" s="41"/>
      <c r="N20" s="42"/>
      <c r="O20" s="41"/>
      <c r="P20" s="40"/>
      <c r="Q20" s="42"/>
      <c r="U20" s="42"/>
      <c r="V20" s="40"/>
    </row>
    <row r="21" spans="1:24" s="2" customFormat="1" x14ac:dyDescent="0.3">
      <c r="A21" s="41"/>
      <c r="B21" s="107"/>
      <c r="C21" s="41"/>
      <c r="D21" s="41"/>
      <c r="E21" s="42"/>
      <c r="F21" s="41"/>
      <c r="G21" s="41"/>
      <c r="H21" s="44"/>
      <c r="I21" s="44"/>
      <c r="J21" s="41"/>
      <c r="K21" s="41"/>
      <c r="L21" s="41"/>
      <c r="M21" s="41"/>
      <c r="N21" s="42"/>
      <c r="O21" s="41"/>
      <c r="P21" s="40"/>
      <c r="Q21" s="42"/>
      <c r="U21" s="42"/>
      <c r="V21" s="40"/>
    </row>
    <row r="22" spans="1:24" s="2" customFormat="1" x14ac:dyDescent="0.3">
      <c r="A22" s="41"/>
      <c r="B22" s="107"/>
      <c r="C22" s="41"/>
      <c r="D22" s="41"/>
      <c r="E22" s="42"/>
      <c r="F22" s="41"/>
      <c r="G22" s="41"/>
      <c r="H22" s="44"/>
      <c r="I22" s="44"/>
      <c r="J22" s="41"/>
      <c r="K22" s="41"/>
      <c r="L22" s="41"/>
      <c r="M22" s="41"/>
      <c r="N22" s="42"/>
      <c r="O22" s="41"/>
      <c r="P22" s="40"/>
      <c r="Q22" s="42"/>
      <c r="U22" s="42"/>
      <c r="V22" s="40"/>
    </row>
    <row r="23" spans="1:24" s="2" customFormat="1" x14ac:dyDescent="0.3">
      <c r="A23" s="41"/>
      <c r="B23" s="107"/>
      <c r="C23" s="41"/>
      <c r="D23" s="41"/>
      <c r="E23" s="42"/>
      <c r="F23" s="41"/>
      <c r="G23" s="41"/>
      <c r="H23" s="44"/>
      <c r="I23" s="44"/>
      <c r="J23" s="41"/>
      <c r="K23" s="41"/>
      <c r="L23" s="41"/>
      <c r="M23" s="41"/>
      <c r="N23" s="42"/>
      <c r="O23" s="41"/>
      <c r="P23" s="40"/>
      <c r="Q23" s="42"/>
      <c r="U23" s="42"/>
      <c r="V23" s="40"/>
    </row>
  </sheetData>
  <sheetProtection password="EB34" sheet="1" objects="1" scenarios="1" formatCells="0" formatColumns="0" formatRows="0"/>
  <mergeCells count="41">
    <mergeCell ref="M14:M16"/>
    <mergeCell ref="O14:O16"/>
    <mergeCell ref="H14:H16"/>
    <mergeCell ref="I14:I16"/>
    <mergeCell ref="J14:J16"/>
    <mergeCell ref="K14:K16"/>
    <mergeCell ref="L14:L16"/>
    <mergeCell ref="A14:A16"/>
    <mergeCell ref="B14:B16"/>
    <mergeCell ref="C14:C16"/>
    <mergeCell ref="E14:E16"/>
    <mergeCell ref="F14:F16"/>
    <mergeCell ref="U14:U16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V14:V16"/>
    <mergeCell ref="W14:W16"/>
    <mergeCell ref="D14:D16"/>
    <mergeCell ref="G14:G16"/>
    <mergeCell ref="A9:A10"/>
    <mergeCell ref="O9:O10"/>
    <mergeCell ref="U9:U10"/>
    <mergeCell ref="B9:B10"/>
    <mergeCell ref="V9:V10"/>
    <mergeCell ref="C9:C10"/>
    <mergeCell ref="A3:E3"/>
    <mergeCell ref="S2:U2"/>
    <mergeCell ref="N2:O2"/>
    <mergeCell ref="J4:K4"/>
    <mergeCell ref="M4:N4"/>
    <mergeCell ref="O4:P4"/>
    <mergeCell ref="K2: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80"/>
  <sheetViews>
    <sheetView showGridLines="0" topLeftCell="D1" zoomScale="70" zoomScaleNormal="70" workbookViewId="0">
      <pane ySplit="8" topLeftCell="A35" activePane="bottomLeft" state="frozen"/>
      <selection pane="bottomLeft" activeCell="H35" sqref="H35:H36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375" t="s">
        <v>24</v>
      </c>
      <c r="G2" s="376"/>
      <c r="H2" s="98">
        <f>SUM(H9:H9999)</f>
        <v>2761095.09</v>
      </c>
      <c r="I2" s="86"/>
      <c r="J2" s="39"/>
      <c r="N2" s="290" t="s">
        <v>137</v>
      </c>
      <c r="O2" s="292"/>
      <c r="P2" s="87">
        <f>SUM(P9:P9999)</f>
        <v>897402.54999999981</v>
      </c>
      <c r="R2" s="86"/>
      <c r="S2" s="290" t="s">
        <v>45</v>
      </c>
      <c r="T2" s="291"/>
      <c r="U2" s="292"/>
      <c r="V2" s="88">
        <f>SUM(V9:V9999)</f>
        <v>0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76.95" customHeight="1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6" customFormat="1" ht="90" customHeight="1" x14ac:dyDescent="0.3">
      <c r="A9" s="294">
        <v>1</v>
      </c>
      <c r="B9" s="300" t="s">
        <v>56</v>
      </c>
      <c r="C9" s="300" t="s">
        <v>162</v>
      </c>
      <c r="D9" s="300" t="s">
        <v>147</v>
      </c>
      <c r="E9" s="300" t="s">
        <v>199</v>
      </c>
      <c r="F9" s="296">
        <v>45654</v>
      </c>
      <c r="G9" s="413" t="s">
        <v>163</v>
      </c>
      <c r="H9" s="298">
        <v>290000</v>
      </c>
      <c r="I9" s="309">
        <f>IF(X9 = 18, H9 + SUM(S9:S10) - SUM(T9:T10) - SUM(P9:P10) - V9,0)</f>
        <v>161833.84</v>
      </c>
      <c r="J9" s="416">
        <v>2310195709</v>
      </c>
      <c r="K9" s="419" t="s">
        <v>200</v>
      </c>
      <c r="L9" s="300" t="s">
        <v>146</v>
      </c>
      <c r="M9" s="300"/>
      <c r="N9" s="217">
        <v>45688</v>
      </c>
      <c r="O9" s="296" t="s">
        <v>183</v>
      </c>
      <c r="P9" s="208">
        <v>59560.23</v>
      </c>
      <c r="Q9" s="209">
        <v>45699</v>
      </c>
      <c r="R9" s="210"/>
      <c r="S9" s="208"/>
      <c r="T9" s="208"/>
      <c r="U9" s="298"/>
      <c r="V9" s="360"/>
      <c r="W9" s="305"/>
      <c r="X9" s="106">
        <v>18</v>
      </c>
    </row>
    <row r="10" spans="1:24" s="2" customFormat="1" x14ac:dyDescent="0.3">
      <c r="A10" s="295"/>
      <c r="B10" s="301"/>
      <c r="C10" s="301"/>
      <c r="D10" s="301"/>
      <c r="E10" s="301"/>
      <c r="F10" s="297"/>
      <c r="G10" s="415"/>
      <c r="H10" s="299"/>
      <c r="I10" s="310"/>
      <c r="J10" s="418"/>
      <c r="K10" s="421"/>
      <c r="L10" s="301"/>
      <c r="M10" s="301"/>
      <c r="N10" s="219">
        <v>45716</v>
      </c>
      <c r="O10" s="297"/>
      <c r="P10" s="214">
        <v>68605.929999999993</v>
      </c>
      <c r="Q10" s="215">
        <v>45727</v>
      </c>
      <c r="R10" s="216"/>
      <c r="S10" s="214"/>
      <c r="T10" s="214"/>
      <c r="U10" s="299"/>
      <c r="V10" s="362"/>
      <c r="W10" s="306"/>
      <c r="X10" s="2">
        <v>18</v>
      </c>
    </row>
    <row r="11" spans="1:24" s="106" customFormat="1" ht="36" customHeight="1" x14ac:dyDescent="0.3">
      <c r="A11" s="294">
        <v>2</v>
      </c>
      <c r="B11" s="300" t="s">
        <v>56</v>
      </c>
      <c r="C11" s="300" t="s">
        <v>146</v>
      </c>
      <c r="D11" s="300" t="s">
        <v>147</v>
      </c>
      <c r="E11" s="300" t="s">
        <v>113</v>
      </c>
      <c r="F11" s="296">
        <v>45655</v>
      </c>
      <c r="G11" s="413" t="s">
        <v>165</v>
      </c>
      <c r="H11" s="298">
        <v>44000</v>
      </c>
      <c r="I11" s="309">
        <f>IF(X11 = 19, H11 + SUM(S11:S14) - SUM(T11:T14) - SUM(P11:P14) - V11,0)</f>
        <v>38647.64</v>
      </c>
      <c r="J11" s="416">
        <v>2353246210</v>
      </c>
      <c r="K11" s="419" t="s">
        <v>150</v>
      </c>
      <c r="L11" s="300" t="s">
        <v>146</v>
      </c>
      <c r="M11" s="300"/>
      <c r="N11" s="217">
        <v>45674</v>
      </c>
      <c r="O11" s="296" t="s">
        <v>166</v>
      </c>
      <c r="P11" s="208">
        <v>1523.36</v>
      </c>
      <c r="Q11" s="209">
        <v>45688</v>
      </c>
      <c r="R11" s="210"/>
      <c r="S11" s="208"/>
      <c r="T11" s="208"/>
      <c r="U11" s="298"/>
      <c r="V11" s="360"/>
      <c r="W11" s="305"/>
      <c r="X11" s="106">
        <v>19</v>
      </c>
    </row>
    <row r="12" spans="1:24" s="2" customFormat="1" x14ac:dyDescent="0.3">
      <c r="A12" s="314"/>
      <c r="B12" s="313"/>
      <c r="C12" s="313"/>
      <c r="D12" s="313"/>
      <c r="E12" s="313"/>
      <c r="F12" s="316"/>
      <c r="G12" s="414"/>
      <c r="H12" s="304"/>
      <c r="I12" s="317"/>
      <c r="J12" s="417"/>
      <c r="K12" s="420"/>
      <c r="L12" s="313"/>
      <c r="M12" s="313"/>
      <c r="N12" s="218">
        <v>45707</v>
      </c>
      <c r="O12" s="316"/>
      <c r="P12" s="211">
        <v>2182.12</v>
      </c>
      <c r="Q12" s="212">
        <v>45716</v>
      </c>
      <c r="R12" s="213"/>
      <c r="S12" s="211"/>
      <c r="T12" s="211"/>
      <c r="U12" s="304"/>
      <c r="V12" s="361"/>
      <c r="W12" s="312"/>
      <c r="X12" s="2">
        <v>19</v>
      </c>
    </row>
    <row r="13" spans="1:24" s="2" customFormat="1" x14ac:dyDescent="0.3">
      <c r="A13" s="314"/>
      <c r="B13" s="313"/>
      <c r="C13" s="313"/>
      <c r="D13" s="313"/>
      <c r="E13" s="313"/>
      <c r="F13" s="316"/>
      <c r="G13" s="414"/>
      <c r="H13" s="304"/>
      <c r="I13" s="317"/>
      <c r="J13" s="417"/>
      <c r="K13" s="420"/>
      <c r="L13" s="313"/>
      <c r="M13" s="313"/>
      <c r="N13" s="218">
        <v>45733</v>
      </c>
      <c r="O13" s="316"/>
      <c r="P13" s="211">
        <v>1646.88</v>
      </c>
      <c r="Q13" s="212">
        <v>45735</v>
      </c>
      <c r="R13" s="213"/>
      <c r="S13" s="211"/>
      <c r="T13" s="211"/>
      <c r="U13" s="304"/>
      <c r="V13" s="361"/>
      <c r="W13" s="312"/>
      <c r="X13" s="2">
        <v>19</v>
      </c>
    </row>
    <row r="14" spans="1:24" s="2" customFormat="1" x14ac:dyDescent="0.3">
      <c r="A14" s="295"/>
      <c r="B14" s="301"/>
      <c r="C14" s="301"/>
      <c r="D14" s="301"/>
      <c r="E14" s="301"/>
      <c r="F14" s="297"/>
      <c r="G14" s="415"/>
      <c r="H14" s="299"/>
      <c r="I14" s="310"/>
      <c r="J14" s="418"/>
      <c r="K14" s="421"/>
      <c r="L14" s="301"/>
      <c r="M14" s="301"/>
      <c r="N14" s="219"/>
      <c r="O14" s="297"/>
      <c r="P14" s="214"/>
      <c r="Q14" s="215"/>
      <c r="R14" s="216"/>
      <c r="S14" s="214"/>
      <c r="T14" s="214"/>
      <c r="U14" s="299"/>
      <c r="V14" s="362"/>
      <c r="W14" s="306"/>
      <c r="X14" s="2">
        <v>19</v>
      </c>
    </row>
    <row r="15" spans="1:24" s="106" customFormat="1" ht="37.5" customHeight="1" x14ac:dyDescent="0.3">
      <c r="A15" s="294">
        <v>3</v>
      </c>
      <c r="B15" s="300" t="s">
        <v>56</v>
      </c>
      <c r="C15" s="300" t="s">
        <v>146</v>
      </c>
      <c r="D15" s="300" t="s">
        <v>170</v>
      </c>
      <c r="E15" s="300" t="s">
        <v>171</v>
      </c>
      <c r="F15" s="296">
        <v>45654</v>
      </c>
      <c r="G15" s="413" t="s">
        <v>167</v>
      </c>
      <c r="H15" s="298">
        <v>370000</v>
      </c>
      <c r="I15" s="309">
        <f>IF(X15 = 20, H15 + SUM(S15:S21) - SUM(T15:T21) - SUM(P15:P21) - V15,0)</f>
        <v>201225.27</v>
      </c>
      <c r="J15" s="416">
        <v>2308119595</v>
      </c>
      <c r="K15" s="419" t="s">
        <v>149</v>
      </c>
      <c r="L15" s="300" t="s">
        <v>146</v>
      </c>
      <c r="M15" s="300"/>
      <c r="N15" s="217">
        <v>45658</v>
      </c>
      <c r="O15" s="296" t="s">
        <v>168</v>
      </c>
      <c r="P15" s="208">
        <v>25009.94</v>
      </c>
      <c r="Q15" s="209">
        <v>45685</v>
      </c>
      <c r="R15" s="210"/>
      <c r="S15" s="208"/>
      <c r="T15" s="208"/>
      <c r="U15" s="298"/>
      <c r="V15" s="360"/>
      <c r="W15" s="305"/>
      <c r="X15" s="106">
        <v>20</v>
      </c>
    </row>
    <row r="16" spans="1:24" s="2" customFormat="1" x14ac:dyDescent="0.3">
      <c r="A16" s="314"/>
      <c r="B16" s="313"/>
      <c r="C16" s="313"/>
      <c r="D16" s="313"/>
      <c r="E16" s="313"/>
      <c r="F16" s="316"/>
      <c r="G16" s="414"/>
      <c r="H16" s="304"/>
      <c r="I16" s="317"/>
      <c r="J16" s="417"/>
      <c r="K16" s="420"/>
      <c r="L16" s="313"/>
      <c r="M16" s="313"/>
      <c r="N16" s="218">
        <v>45689</v>
      </c>
      <c r="O16" s="316"/>
      <c r="P16" s="211">
        <v>18751.080000000002</v>
      </c>
      <c r="Q16" s="212">
        <v>45692</v>
      </c>
      <c r="R16" s="213"/>
      <c r="S16" s="211"/>
      <c r="T16" s="211"/>
      <c r="U16" s="304"/>
      <c r="V16" s="361"/>
      <c r="W16" s="312"/>
      <c r="X16" s="2">
        <v>20</v>
      </c>
    </row>
    <row r="17" spans="1:24" s="2" customFormat="1" x14ac:dyDescent="0.3">
      <c r="A17" s="314"/>
      <c r="B17" s="313"/>
      <c r="C17" s="313"/>
      <c r="D17" s="313"/>
      <c r="E17" s="313"/>
      <c r="F17" s="316"/>
      <c r="G17" s="414"/>
      <c r="H17" s="304"/>
      <c r="I17" s="317"/>
      <c r="J17" s="417"/>
      <c r="K17" s="420"/>
      <c r="L17" s="313"/>
      <c r="M17" s="313"/>
      <c r="N17" s="218">
        <v>45688</v>
      </c>
      <c r="O17" s="316"/>
      <c r="P17" s="211">
        <v>40907.68</v>
      </c>
      <c r="Q17" s="212">
        <v>45705</v>
      </c>
      <c r="R17" s="213"/>
      <c r="S17" s="211"/>
      <c r="T17" s="211"/>
      <c r="U17" s="304"/>
      <c r="V17" s="361"/>
      <c r="W17" s="312"/>
      <c r="X17" s="2">
        <v>20</v>
      </c>
    </row>
    <row r="18" spans="1:24" s="2" customFormat="1" x14ac:dyDescent="0.3">
      <c r="A18" s="314"/>
      <c r="B18" s="313"/>
      <c r="C18" s="313"/>
      <c r="D18" s="313"/>
      <c r="E18" s="313"/>
      <c r="F18" s="316"/>
      <c r="G18" s="414"/>
      <c r="H18" s="304"/>
      <c r="I18" s="317"/>
      <c r="J18" s="417"/>
      <c r="K18" s="420"/>
      <c r="L18" s="313"/>
      <c r="M18" s="313"/>
      <c r="N18" s="218">
        <v>45689</v>
      </c>
      <c r="O18" s="316"/>
      <c r="P18" s="211">
        <v>28796.27</v>
      </c>
      <c r="Q18" s="212">
        <v>45705</v>
      </c>
      <c r="R18" s="213"/>
      <c r="S18" s="211"/>
      <c r="T18" s="211"/>
      <c r="U18" s="304"/>
      <c r="V18" s="361"/>
      <c r="W18" s="312"/>
      <c r="X18" s="2">
        <v>20</v>
      </c>
    </row>
    <row r="19" spans="1:24" s="2" customFormat="1" x14ac:dyDescent="0.3">
      <c r="A19" s="314"/>
      <c r="B19" s="313"/>
      <c r="C19" s="313"/>
      <c r="D19" s="313"/>
      <c r="E19" s="313"/>
      <c r="F19" s="316"/>
      <c r="G19" s="414"/>
      <c r="H19" s="304"/>
      <c r="I19" s="317"/>
      <c r="J19" s="417"/>
      <c r="K19" s="420"/>
      <c r="L19" s="313"/>
      <c r="M19" s="313"/>
      <c r="N19" s="218">
        <v>45717</v>
      </c>
      <c r="O19" s="316"/>
      <c r="P19" s="211">
        <v>21597.200000000001</v>
      </c>
      <c r="Q19" s="212">
        <v>45719</v>
      </c>
      <c r="R19" s="213"/>
      <c r="S19" s="211"/>
      <c r="T19" s="211"/>
      <c r="U19" s="304"/>
      <c r="V19" s="361"/>
      <c r="W19" s="312"/>
      <c r="X19" s="2">
        <v>20</v>
      </c>
    </row>
    <row r="20" spans="1:24" s="2" customFormat="1" x14ac:dyDescent="0.3">
      <c r="A20" s="314"/>
      <c r="B20" s="313"/>
      <c r="C20" s="313"/>
      <c r="D20" s="313"/>
      <c r="E20" s="313"/>
      <c r="F20" s="316"/>
      <c r="G20" s="414"/>
      <c r="H20" s="304"/>
      <c r="I20" s="317"/>
      <c r="J20" s="417"/>
      <c r="K20" s="420"/>
      <c r="L20" s="313"/>
      <c r="M20" s="313"/>
      <c r="N20" s="218">
        <v>45716</v>
      </c>
      <c r="O20" s="316"/>
      <c r="P20" s="211">
        <v>9060.59</v>
      </c>
      <c r="Q20" s="212">
        <v>45729</v>
      </c>
      <c r="R20" s="213"/>
      <c r="S20" s="211"/>
      <c r="T20" s="211"/>
      <c r="U20" s="304"/>
      <c r="V20" s="361"/>
      <c r="W20" s="312"/>
      <c r="X20" s="2">
        <v>20</v>
      </c>
    </row>
    <row r="21" spans="1:24" s="2" customFormat="1" x14ac:dyDescent="0.3">
      <c r="A21" s="295"/>
      <c r="B21" s="301"/>
      <c r="C21" s="301"/>
      <c r="D21" s="301"/>
      <c r="E21" s="301"/>
      <c r="F21" s="297"/>
      <c r="G21" s="415"/>
      <c r="H21" s="299"/>
      <c r="I21" s="310"/>
      <c r="J21" s="418"/>
      <c r="K21" s="421"/>
      <c r="L21" s="301"/>
      <c r="M21" s="301"/>
      <c r="N21" s="219">
        <v>45717</v>
      </c>
      <c r="O21" s="297"/>
      <c r="P21" s="214">
        <v>24651.97</v>
      </c>
      <c r="Q21" s="215">
        <v>45729</v>
      </c>
      <c r="R21" s="216"/>
      <c r="S21" s="214"/>
      <c r="T21" s="214"/>
      <c r="U21" s="299"/>
      <c r="V21" s="362"/>
      <c r="W21" s="306"/>
      <c r="X21" s="2">
        <v>20</v>
      </c>
    </row>
    <row r="22" spans="1:24" s="106" customFormat="1" ht="72" customHeight="1" x14ac:dyDescent="0.3">
      <c r="A22" s="294">
        <v>4</v>
      </c>
      <c r="B22" s="300" t="s">
        <v>56</v>
      </c>
      <c r="C22" s="300" t="s">
        <v>146</v>
      </c>
      <c r="D22" s="300" t="s">
        <v>147</v>
      </c>
      <c r="E22" s="300" t="s">
        <v>172</v>
      </c>
      <c r="F22" s="296">
        <v>45654</v>
      </c>
      <c r="G22" s="413" t="s">
        <v>148</v>
      </c>
      <c r="H22" s="298">
        <v>50565.84</v>
      </c>
      <c r="I22" s="309">
        <f>IF(X22 = 21, H22 + SUM(S22:S23) - SUM(T22:T23) - SUM(P22:P23) - V22,0)</f>
        <v>42481.14</v>
      </c>
      <c r="J22" s="416">
        <v>2308131994</v>
      </c>
      <c r="K22" s="419" t="s">
        <v>161</v>
      </c>
      <c r="L22" s="300" t="s">
        <v>146</v>
      </c>
      <c r="M22" s="300"/>
      <c r="N22" s="217">
        <v>45688</v>
      </c>
      <c r="O22" s="296" t="s">
        <v>169</v>
      </c>
      <c r="P22" s="208">
        <v>4042.35</v>
      </c>
      <c r="Q22" s="209">
        <v>45692</v>
      </c>
      <c r="R22" s="210"/>
      <c r="S22" s="208"/>
      <c r="T22" s="208"/>
      <c r="U22" s="298"/>
      <c r="V22" s="360"/>
      <c r="W22" s="305"/>
      <c r="X22" s="106">
        <v>21</v>
      </c>
    </row>
    <row r="23" spans="1:24" s="2" customFormat="1" x14ac:dyDescent="0.3">
      <c r="A23" s="295"/>
      <c r="B23" s="301"/>
      <c r="C23" s="301"/>
      <c r="D23" s="301"/>
      <c r="E23" s="301"/>
      <c r="F23" s="297"/>
      <c r="G23" s="415"/>
      <c r="H23" s="299"/>
      <c r="I23" s="310"/>
      <c r="J23" s="418"/>
      <c r="K23" s="421"/>
      <c r="L23" s="301"/>
      <c r="M23" s="301"/>
      <c r="N23" s="219">
        <v>45716</v>
      </c>
      <c r="O23" s="297"/>
      <c r="P23" s="214">
        <v>4042.35</v>
      </c>
      <c r="Q23" s="215">
        <v>45727</v>
      </c>
      <c r="R23" s="216"/>
      <c r="S23" s="214"/>
      <c r="T23" s="214"/>
      <c r="U23" s="299"/>
      <c r="V23" s="362"/>
      <c r="W23" s="306"/>
      <c r="X23" s="2">
        <v>21</v>
      </c>
    </row>
    <row r="24" spans="1:24" s="106" customFormat="1" ht="187.5" customHeight="1" x14ac:dyDescent="0.3">
      <c r="A24" s="318">
        <v>5</v>
      </c>
      <c r="B24" s="324" t="s">
        <v>56</v>
      </c>
      <c r="C24" s="324" t="s">
        <v>146</v>
      </c>
      <c r="D24" s="324" t="s">
        <v>147</v>
      </c>
      <c r="E24" s="324" t="s">
        <v>36</v>
      </c>
      <c r="F24" s="320">
        <v>45654</v>
      </c>
      <c r="G24" s="365" t="s">
        <v>185</v>
      </c>
      <c r="H24" s="322">
        <v>17500</v>
      </c>
      <c r="I24" s="367">
        <f>IF(X24 = 22, H24 + SUM(S24:S28) - SUM(T24:T28) - SUM(P24:P28) - V24,0)</f>
        <v>10000</v>
      </c>
      <c r="J24" s="369">
        <v>235301271520</v>
      </c>
      <c r="K24" s="371" t="s">
        <v>158</v>
      </c>
      <c r="L24" s="324" t="s">
        <v>146</v>
      </c>
      <c r="M24" s="324"/>
      <c r="N24" s="135">
        <v>45681</v>
      </c>
      <c r="O24" s="320" t="s">
        <v>183</v>
      </c>
      <c r="P24" s="136">
        <v>2500</v>
      </c>
      <c r="Q24" s="137">
        <v>45693</v>
      </c>
      <c r="R24" s="138"/>
      <c r="S24" s="136"/>
      <c r="T24" s="136"/>
      <c r="U24" s="322"/>
      <c r="V24" s="326"/>
      <c r="W24" s="363"/>
      <c r="X24" s="106">
        <v>22</v>
      </c>
    </row>
    <row r="25" spans="1:24" s="2" customFormat="1" x14ac:dyDescent="0.3">
      <c r="A25" s="374"/>
      <c r="B25" s="378"/>
      <c r="C25" s="378"/>
      <c r="D25" s="378"/>
      <c r="E25" s="378"/>
      <c r="F25" s="379"/>
      <c r="G25" s="380"/>
      <c r="H25" s="377"/>
      <c r="I25" s="381"/>
      <c r="J25" s="382"/>
      <c r="K25" s="383"/>
      <c r="L25" s="378"/>
      <c r="M25" s="378"/>
      <c r="N25" s="143">
        <v>45713</v>
      </c>
      <c r="O25" s="379"/>
      <c r="P25" s="144">
        <v>2500</v>
      </c>
      <c r="Q25" s="145">
        <v>45716</v>
      </c>
      <c r="R25" s="146"/>
      <c r="S25" s="144"/>
      <c r="T25" s="144"/>
      <c r="U25" s="377"/>
      <c r="V25" s="408"/>
      <c r="W25" s="373"/>
      <c r="X25" s="2">
        <v>22</v>
      </c>
    </row>
    <row r="26" spans="1:24" s="2" customFormat="1" x14ac:dyDescent="0.3">
      <c r="A26" s="374"/>
      <c r="B26" s="378"/>
      <c r="C26" s="378"/>
      <c r="D26" s="378"/>
      <c r="E26" s="378"/>
      <c r="F26" s="379"/>
      <c r="G26" s="380"/>
      <c r="H26" s="377"/>
      <c r="I26" s="381"/>
      <c r="J26" s="382"/>
      <c r="K26" s="383"/>
      <c r="L26" s="378"/>
      <c r="M26" s="378"/>
      <c r="N26" s="143">
        <v>45741</v>
      </c>
      <c r="O26" s="379"/>
      <c r="P26" s="144">
        <v>2500</v>
      </c>
      <c r="Q26" s="145">
        <v>45742</v>
      </c>
      <c r="R26" s="146"/>
      <c r="S26" s="144"/>
      <c r="T26" s="144"/>
      <c r="U26" s="377"/>
      <c r="V26" s="408"/>
      <c r="W26" s="373"/>
      <c r="X26" s="2">
        <v>22</v>
      </c>
    </row>
    <row r="27" spans="1:24" s="2" customFormat="1" x14ac:dyDescent="0.3">
      <c r="A27" s="374"/>
      <c r="B27" s="378"/>
      <c r="C27" s="378"/>
      <c r="D27" s="378"/>
      <c r="E27" s="378"/>
      <c r="F27" s="379"/>
      <c r="G27" s="380"/>
      <c r="H27" s="377"/>
      <c r="I27" s="381"/>
      <c r="J27" s="382"/>
      <c r="K27" s="383"/>
      <c r="L27" s="378"/>
      <c r="M27" s="378"/>
      <c r="N27" s="143"/>
      <c r="O27" s="379"/>
      <c r="P27" s="144"/>
      <c r="Q27" s="145"/>
      <c r="R27" s="146"/>
      <c r="S27" s="144"/>
      <c r="T27" s="144"/>
      <c r="U27" s="377"/>
      <c r="V27" s="408"/>
      <c r="W27" s="373"/>
      <c r="X27" s="2">
        <v>22</v>
      </c>
    </row>
    <row r="28" spans="1:24" s="2" customFormat="1" x14ac:dyDescent="0.3">
      <c r="A28" s="374"/>
      <c r="B28" s="378"/>
      <c r="C28" s="378"/>
      <c r="D28" s="378"/>
      <c r="E28" s="378"/>
      <c r="F28" s="379"/>
      <c r="G28" s="380"/>
      <c r="H28" s="377"/>
      <c r="I28" s="381"/>
      <c r="J28" s="382"/>
      <c r="K28" s="383"/>
      <c r="L28" s="378"/>
      <c r="M28" s="378"/>
      <c r="N28" s="143"/>
      <c r="O28" s="379"/>
      <c r="P28" s="144"/>
      <c r="Q28" s="145"/>
      <c r="R28" s="146"/>
      <c r="S28" s="144"/>
      <c r="T28" s="144"/>
      <c r="U28" s="377"/>
      <c r="V28" s="408"/>
      <c r="W28" s="373"/>
      <c r="X28" s="2">
        <v>22</v>
      </c>
    </row>
    <row r="29" spans="1:24" s="106" customFormat="1" ht="187.5" customHeight="1" x14ac:dyDescent="0.3">
      <c r="A29" s="318">
        <v>6</v>
      </c>
      <c r="B29" s="324" t="s">
        <v>56</v>
      </c>
      <c r="C29" s="324" t="s">
        <v>146</v>
      </c>
      <c r="D29" s="324" t="s">
        <v>147</v>
      </c>
      <c r="E29" s="324" t="s">
        <v>111</v>
      </c>
      <c r="F29" s="320">
        <v>45654</v>
      </c>
      <c r="G29" s="365" t="s">
        <v>186</v>
      </c>
      <c r="H29" s="322">
        <v>17400</v>
      </c>
      <c r="I29" s="367">
        <f>IF(X29 = 23, H29 + SUM(S29:S33) - SUM(T29:T33) - SUM(P29:P33) - V29,0)</f>
        <v>14500</v>
      </c>
      <c r="J29" s="369">
        <v>231107998282</v>
      </c>
      <c r="K29" s="371" t="s">
        <v>187</v>
      </c>
      <c r="L29" s="324" t="s">
        <v>146</v>
      </c>
      <c r="M29" s="324"/>
      <c r="N29" s="135">
        <v>45688</v>
      </c>
      <c r="O29" s="320" t="s">
        <v>183</v>
      </c>
      <c r="P29" s="136">
        <v>1450</v>
      </c>
      <c r="Q29" s="137">
        <v>45693</v>
      </c>
      <c r="R29" s="138"/>
      <c r="S29" s="136"/>
      <c r="T29" s="136"/>
      <c r="U29" s="322"/>
      <c r="V29" s="326"/>
      <c r="W29" s="363"/>
      <c r="X29" s="106">
        <v>23</v>
      </c>
    </row>
    <row r="30" spans="1:24" s="2" customFormat="1" x14ac:dyDescent="0.3">
      <c r="A30" s="374"/>
      <c r="B30" s="378"/>
      <c r="C30" s="378"/>
      <c r="D30" s="378"/>
      <c r="E30" s="378"/>
      <c r="F30" s="379"/>
      <c r="G30" s="380"/>
      <c r="H30" s="377"/>
      <c r="I30" s="381"/>
      <c r="J30" s="382"/>
      <c r="K30" s="383"/>
      <c r="L30" s="378"/>
      <c r="M30" s="378"/>
      <c r="N30" s="143">
        <v>45716</v>
      </c>
      <c r="O30" s="379"/>
      <c r="P30" s="144">
        <v>1450</v>
      </c>
      <c r="Q30" s="145">
        <v>45716</v>
      </c>
      <c r="R30" s="146"/>
      <c r="S30" s="144"/>
      <c r="T30" s="144"/>
      <c r="U30" s="377"/>
      <c r="V30" s="408"/>
      <c r="W30" s="373"/>
      <c r="X30" s="2">
        <v>23</v>
      </c>
    </row>
    <row r="31" spans="1:24" s="2" customFormat="1" x14ac:dyDescent="0.3">
      <c r="A31" s="374"/>
      <c r="B31" s="378"/>
      <c r="C31" s="378"/>
      <c r="D31" s="378"/>
      <c r="E31" s="378"/>
      <c r="F31" s="379"/>
      <c r="G31" s="380"/>
      <c r="H31" s="377"/>
      <c r="I31" s="381"/>
      <c r="J31" s="382"/>
      <c r="K31" s="383"/>
      <c r="L31" s="378"/>
      <c r="M31" s="378"/>
      <c r="N31" s="143"/>
      <c r="O31" s="379"/>
      <c r="P31" s="144"/>
      <c r="Q31" s="145"/>
      <c r="R31" s="146"/>
      <c r="S31" s="144"/>
      <c r="T31" s="144"/>
      <c r="U31" s="377"/>
      <c r="V31" s="408"/>
      <c r="W31" s="373"/>
      <c r="X31" s="2">
        <v>23</v>
      </c>
    </row>
    <row r="32" spans="1:24" s="2" customFormat="1" x14ac:dyDescent="0.3">
      <c r="A32" s="374"/>
      <c r="B32" s="378"/>
      <c r="C32" s="378"/>
      <c r="D32" s="378"/>
      <c r="E32" s="378"/>
      <c r="F32" s="379"/>
      <c r="G32" s="380"/>
      <c r="H32" s="377"/>
      <c r="I32" s="381"/>
      <c r="J32" s="382"/>
      <c r="K32" s="383"/>
      <c r="L32" s="378"/>
      <c r="M32" s="378"/>
      <c r="N32" s="143"/>
      <c r="O32" s="379"/>
      <c r="P32" s="144"/>
      <c r="Q32" s="145"/>
      <c r="R32" s="146"/>
      <c r="S32" s="144"/>
      <c r="T32" s="144"/>
      <c r="U32" s="377"/>
      <c r="V32" s="408"/>
      <c r="W32" s="373"/>
      <c r="X32" s="2">
        <v>23</v>
      </c>
    </row>
    <row r="33" spans="1:24" s="2" customFormat="1" x14ac:dyDescent="0.3">
      <c r="A33" s="319"/>
      <c r="B33" s="325"/>
      <c r="C33" s="325"/>
      <c r="D33" s="325"/>
      <c r="E33" s="325"/>
      <c r="F33" s="321"/>
      <c r="G33" s="366"/>
      <c r="H33" s="323"/>
      <c r="I33" s="368"/>
      <c r="J33" s="370"/>
      <c r="K33" s="372"/>
      <c r="L33" s="325"/>
      <c r="M33" s="325"/>
      <c r="N33" s="139"/>
      <c r="O33" s="321"/>
      <c r="P33" s="140"/>
      <c r="Q33" s="141"/>
      <c r="R33" s="142"/>
      <c r="S33" s="140"/>
      <c r="T33" s="140"/>
      <c r="U33" s="323"/>
      <c r="V33" s="327"/>
      <c r="W33" s="364"/>
      <c r="X33" s="2">
        <v>23</v>
      </c>
    </row>
    <row r="34" spans="1:24" s="106" customFormat="1" ht="108" x14ac:dyDescent="0.3">
      <c r="A34" s="117">
        <v>7</v>
      </c>
      <c r="B34" s="118" t="s">
        <v>56</v>
      </c>
      <c r="C34" s="118" t="s">
        <v>146</v>
      </c>
      <c r="D34" s="118" t="s">
        <v>175</v>
      </c>
      <c r="E34" s="118" t="s">
        <v>201</v>
      </c>
      <c r="F34" s="126">
        <v>45654</v>
      </c>
      <c r="G34" s="119" t="s">
        <v>184</v>
      </c>
      <c r="H34" s="120">
        <v>9600</v>
      </c>
      <c r="I34" s="121">
        <f>IF(X34 = 24, H34 + SUM(S34:S34) - SUM(T34:T34) - SUM(P34:P34) - V34,0)</f>
        <v>9600</v>
      </c>
      <c r="J34" s="122">
        <v>2369000660</v>
      </c>
      <c r="K34" s="123" t="s">
        <v>157</v>
      </c>
      <c r="L34" s="118" t="s">
        <v>146</v>
      </c>
      <c r="M34" s="118"/>
      <c r="N34" s="126"/>
      <c r="O34" s="126" t="s">
        <v>183</v>
      </c>
      <c r="P34" s="120"/>
      <c r="Q34" s="119"/>
      <c r="R34" s="118"/>
      <c r="S34" s="120"/>
      <c r="T34" s="120"/>
      <c r="U34" s="120"/>
      <c r="V34" s="124"/>
      <c r="W34" s="125"/>
      <c r="X34" s="106">
        <v>24</v>
      </c>
    </row>
    <row r="35" spans="1:24" s="106" customFormat="1" ht="131.25" customHeight="1" x14ac:dyDescent="0.3">
      <c r="A35" s="404">
        <v>8</v>
      </c>
      <c r="B35" s="358" t="s">
        <v>56</v>
      </c>
      <c r="C35" s="358" t="s">
        <v>146</v>
      </c>
      <c r="D35" s="358" t="s">
        <v>176</v>
      </c>
      <c r="E35" s="358" t="s">
        <v>110</v>
      </c>
      <c r="F35" s="406">
        <v>45654</v>
      </c>
      <c r="G35" s="409" t="s">
        <v>188</v>
      </c>
      <c r="H35" s="350">
        <v>30000</v>
      </c>
      <c r="I35" s="352">
        <f>IF(X35 = 25, H35 + SUM(S35:S36) - SUM(T35:T36) - SUM(P35:P36) - V35,0)</f>
        <v>25000</v>
      </c>
      <c r="J35" s="354">
        <v>231107998282</v>
      </c>
      <c r="K35" s="356" t="s">
        <v>187</v>
      </c>
      <c r="L35" s="358" t="s">
        <v>146</v>
      </c>
      <c r="M35" s="358"/>
      <c r="N35" s="127">
        <v>45688</v>
      </c>
      <c r="O35" s="406" t="s">
        <v>183</v>
      </c>
      <c r="P35" s="128">
        <v>2500</v>
      </c>
      <c r="Q35" s="129">
        <v>45693</v>
      </c>
      <c r="R35" s="130"/>
      <c r="S35" s="128"/>
      <c r="T35" s="128"/>
      <c r="U35" s="350"/>
      <c r="V35" s="411"/>
      <c r="W35" s="328"/>
      <c r="X35" s="106">
        <v>25</v>
      </c>
    </row>
    <row r="36" spans="1:24" s="2" customFormat="1" x14ac:dyDescent="0.3">
      <c r="A36" s="405"/>
      <c r="B36" s="359"/>
      <c r="C36" s="359"/>
      <c r="D36" s="359"/>
      <c r="E36" s="359"/>
      <c r="F36" s="407"/>
      <c r="G36" s="410"/>
      <c r="H36" s="351"/>
      <c r="I36" s="353"/>
      <c r="J36" s="355"/>
      <c r="K36" s="357"/>
      <c r="L36" s="359"/>
      <c r="M36" s="359"/>
      <c r="N36" s="131">
        <v>45716</v>
      </c>
      <c r="O36" s="407"/>
      <c r="P36" s="132">
        <v>2500</v>
      </c>
      <c r="Q36" s="133">
        <v>45716</v>
      </c>
      <c r="R36" s="134"/>
      <c r="S36" s="132"/>
      <c r="T36" s="132"/>
      <c r="U36" s="351"/>
      <c r="V36" s="412"/>
      <c r="W36" s="329"/>
      <c r="X36" s="2">
        <v>25</v>
      </c>
    </row>
    <row r="37" spans="1:24" s="106" customFormat="1" ht="90" customHeight="1" x14ac:dyDescent="0.3">
      <c r="A37" s="294">
        <v>9</v>
      </c>
      <c r="B37" s="300" t="s">
        <v>56</v>
      </c>
      <c r="C37" s="300" t="s">
        <v>146</v>
      </c>
      <c r="D37" s="300" t="s">
        <v>147</v>
      </c>
      <c r="E37" s="300" t="s">
        <v>112</v>
      </c>
      <c r="F37" s="296">
        <v>45654</v>
      </c>
      <c r="G37" s="413" t="s">
        <v>189</v>
      </c>
      <c r="H37" s="298">
        <v>195031.2</v>
      </c>
      <c r="I37" s="309">
        <f>IF(X37 = 26, H37 + SUM(S37:S46) - SUM(T37:T46) - SUM(P37:P46) - V37,0)</f>
        <v>98898.800000000017</v>
      </c>
      <c r="J37" s="416">
        <v>2353020735</v>
      </c>
      <c r="K37" s="419" t="s">
        <v>156</v>
      </c>
      <c r="L37" s="300" t="s">
        <v>146</v>
      </c>
      <c r="M37" s="300"/>
      <c r="N37" s="217">
        <v>45688</v>
      </c>
      <c r="O37" s="296" t="s">
        <v>183</v>
      </c>
      <c r="P37" s="208">
        <v>5812.8</v>
      </c>
      <c r="Q37" s="209">
        <v>45706</v>
      </c>
      <c r="R37" s="210"/>
      <c r="S37" s="208"/>
      <c r="T37" s="208"/>
      <c r="U37" s="298"/>
      <c r="V37" s="360"/>
      <c r="W37" s="305"/>
      <c r="X37" s="106">
        <v>26</v>
      </c>
    </row>
    <row r="38" spans="1:24" s="2" customFormat="1" x14ac:dyDescent="0.3">
      <c r="A38" s="314"/>
      <c r="B38" s="313"/>
      <c r="C38" s="313"/>
      <c r="D38" s="313"/>
      <c r="E38" s="313"/>
      <c r="F38" s="316"/>
      <c r="G38" s="414"/>
      <c r="H38" s="304"/>
      <c r="I38" s="317"/>
      <c r="J38" s="417"/>
      <c r="K38" s="420"/>
      <c r="L38" s="313"/>
      <c r="M38" s="313"/>
      <c r="N38" s="218">
        <v>45688</v>
      </c>
      <c r="O38" s="316"/>
      <c r="P38" s="211">
        <v>1960</v>
      </c>
      <c r="Q38" s="212">
        <v>45706</v>
      </c>
      <c r="R38" s="213"/>
      <c r="S38" s="211"/>
      <c r="T38" s="211"/>
      <c r="U38" s="304"/>
      <c r="V38" s="361"/>
      <c r="W38" s="312"/>
      <c r="X38" s="2">
        <v>26</v>
      </c>
    </row>
    <row r="39" spans="1:24" s="2" customFormat="1" x14ac:dyDescent="0.3">
      <c r="A39" s="314"/>
      <c r="B39" s="313"/>
      <c r="C39" s="313"/>
      <c r="D39" s="313"/>
      <c r="E39" s="313"/>
      <c r="F39" s="316"/>
      <c r="G39" s="414"/>
      <c r="H39" s="304"/>
      <c r="I39" s="317"/>
      <c r="J39" s="417"/>
      <c r="K39" s="420"/>
      <c r="L39" s="313"/>
      <c r="M39" s="313"/>
      <c r="N39" s="218">
        <v>45688</v>
      </c>
      <c r="O39" s="316"/>
      <c r="P39" s="211">
        <v>10570</v>
      </c>
      <c r="Q39" s="212">
        <v>45706</v>
      </c>
      <c r="R39" s="213"/>
      <c r="S39" s="211"/>
      <c r="T39" s="211"/>
      <c r="U39" s="304"/>
      <c r="V39" s="361"/>
      <c r="W39" s="312"/>
      <c r="X39" s="2">
        <v>26</v>
      </c>
    </row>
    <row r="40" spans="1:24" s="2" customFormat="1" x14ac:dyDescent="0.3">
      <c r="A40" s="314"/>
      <c r="B40" s="313"/>
      <c r="C40" s="313"/>
      <c r="D40" s="313"/>
      <c r="E40" s="313"/>
      <c r="F40" s="316"/>
      <c r="G40" s="414"/>
      <c r="H40" s="304"/>
      <c r="I40" s="317"/>
      <c r="J40" s="417"/>
      <c r="K40" s="420"/>
      <c r="L40" s="313"/>
      <c r="M40" s="313"/>
      <c r="N40" s="218">
        <v>45688</v>
      </c>
      <c r="O40" s="316"/>
      <c r="P40" s="211">
        <v>17267.490000000002</v>
      </c>
      <c r="Q40" s="212">
        <v>45706</v>
      </c>
      <c r="R40" s="213"/>
      <c r="S40" s="211"/>
      <c r="T40" s="211"/>
      <c r="U40" s="304"/>
      <c r="V40" s="361"/>
      <c r="W40" s="312"/>
      <c r="X40" s="2">
        <v>26</v>
      </c>
    </row>
    <row r="41" spans="1:24" s="2" customFormat="1" x14ac:dyDescent="0.3">
      <c r="A41" s="314"/>
      <c r="B41" s="313"/>
      <c r="C41" s="313"/>
      <c r="D41" s="313"/>
      <c r="E41" s="313"/>
      <c r="F41" s="316"/>
      <c r="G41" s="414"/>
      <c r="H41" s="304"/>
      <c r="I41" s="317"/>
      <c r="J41" s="417"/>
      <c r="K41" s="420"/>
      <c r="L41" s="313"/>
      <c r="M41" s="313"/>
      <c r="N41" s="218">
        <v>45688</v>
      </c>
      <c r="O41" s="316"/>
      <c r="P41" s="211">
        <v>14128.11</v>
      </c>
      <c r="Q41" s="212">
        <v>45706</v>
      </c>
      <c r="R41" s="213"/>
      <c r="S41" s="211"/>
      <c r="T41" s="211"/>
      <c r="U41" s="304"/>
      <c r="V41" s="361"/>
      <c r="W41" s="312"/>
      <c r="X41" s="2">
        <v>26</v>
      </c>
    </row>
    <row r="42" spans="1:24" s="2" customFormat="1" x14ac:dyDescent="0.3">
      <c r="A42" s="314"/>
      <c r="B42" s="313"/>
      <c r="C42" s="313"/>
      <c r="D42" s="313"/>
      <c r="E42" s="313"/>
      <c r="F42" s="316"/>
      <c r="G42" s="414"/>
      <c r="H42" s="304"/>
      <c r="I42" s="317"/>
      <c r="J42" s="417"/>
      <c r="K42" s="420"/>
      <c r="L42" s="313"/>
      <c r="M42" s="313"/>
      <c r="N42" s="218">
        <v>45716</v>
      </c>
      <c r="O42" s="316"/>
      <c r="P42" s="211">
        <v>6228</v>
      </c>
      <c r="Q42" s="212">
        <v>45730</v>
      </c>
      <c r="R42" s="213"/>
      <c r="S42" s="211"/>
      <c r="T42" s="211"/>
      <c r="U42" s="304"/>
      <c r="V42" s="361"/>
      <c r="W42" s="312"/>
      <c r="X42" s="2">
        <v>26</v>
      </c>
    </row>
    <row r="43" spans="1:24" s="2" customFormat="1" x14ac:dyDescent="0.3">
      <c r="A43" s="314"/>
      <c r="B43" s="313"/>
      <c r="C43" s="313"/>
      <c r="D43" s="313"/>
      <c r="E43" s="313"/>
      <c r="F43" s="316"/>
      <c r="G43" s="414"/>
      <c r="H43" s="304"/>
      <c r="I43" s="317"/>
      <c r="J43" s="417"/>
      <c r="K43" s="420"/>
      <c r="L43" s="313"/>
      <c r="M43" s="313"/>
      <c r="N43" s="218">
        <v>45716</v>
      </c>
      <c r="O43" s="316"/>
      <c r="P43" s="211">
        <v>2100</v>
      </c>
      <c r="Q43" s="212">
        <v>45730</v>
      </c>
      <c r="R43" s="213"/>
      <c r="S43" s="211"/>
      <c r="T43" s="211"/>
      <c r="U43" s="304"/>
      <c r="V43" s="361"/>
      <c r="W43" s="312"/>
      <c r="X43" s="2">
        <v>26</v>
      </c>
    </row>
    <row r="44" spans="1:24" s="2" customFormat="1" x14ac:dyDescent="0.3">
      <c r="A44" s="314"/>
      <c r="B44" s="313"/>
      <c r="C44" s="313"/>
      <c r="D44" s="313"/>
      <c r="E44" s="313"/>
      <c r="F44" s="316"/>
      <c r="G44" s="414"/>
      <c r="H44" s="304"/>
      <c r="I44" s="317"/>
      <c r="J44" s="417"/>
      <c r="K44" s="420"/>
      <c r="L44" s="313"/>
      <c r="M44" s="313"/>
      <c r="N44" s="218">
        <v>45716</v>
      </c>
      <c r="O44" s="316"/>
      <c r="P44" s="211">
        <v>9590</v>
      </c>
      <c r="Q44" s="212">
        <v>45730</v>
      </c>
      <c r="R44" s="213"/>
      <c r="S44" s="211"/>
      <c r="T44" s="211"/>
      <c r="U44" s="304"/>
      <c r="V44" s="361"/>
      <c r="W44" s="312"/>
      <c r="X44" s="2">
        <v>26</v>
      </c>
    </row>
    <row r="45" spans="1:24" s="2" customFormat="1" x14ac:dyDescent="0.3">
      <c r="A45" s="314"/>
      <c r="B45" s="313"/>
      <c r="C45" s="313"/>
      <c r="D45" s="313"/>
      <c r="E45" s="313"/>
      <c r="F45" s="316"/>
      <c r="G45" s="414"/>
      <c r="H45" s="304"/>
      <c r="I45" s="317"/>
      <c r="J45" s="417"/>
      <c r="K45" s="420"/>
      <c r="L45" s="313"/>
      <c r="M45" s="313"/>
      <c r="N45" s="218">
        <v>45716</v>
      </c>
      <c r="O45" s="316"/>
      <c r="P45" s="211">
        <v>15661.72</v>
      </c>
      <c r="Q45" s="212">
        <v>45730</v>
      </c>
      <c r="R45" s="213"/>
      <c r="S45" s="211"/>
      <c r="T45" s="211"/>
      <c r="U45" s="304"/>
      <c r="V45" s="361"/>
      <c r="W45" s="312"/>
      <c r="X45" s="2">
        <v>26</v>
      </c>
    </row>
    <row r="46" spans="1:24" s="2" customFormat="1" x14ac:dyDescent="0.3">
      <c r="A46" s="295"/>
      <c r="B46" s="301"/>
      <c r="C46" s="301"/>
      <c r="D46" s="301"/>
      <c r="E46" s="301"/>
      <c r="F46" s="297"/>
      <c r="G46" s="415"/>
      <c r="H46" s="299"/>
      <c r="I46" s="310"/>
      <c r="J46" s="418"/>
      <c r="K46" s="421"/>
      <c r="L46" s="301"/>
      <c r="M46" s="301"/>
      <c r="N46" s="218">
        <v>45716</v>
      </c>
      <c r="O46" s="297"/>
      <c r="P46" s="214">
        <v>12814.28</v>
      </c>
      <c r="Q46" s="212">
        <v>45730</v>
      </c>
      <c r="R46" s="216"/>
      <c r="S46" s="214"/>
      <c r="T46" s="214"/>
      <c r="U46" s="299"/>
      <c r="V46" s="362"/>
      <c r="W46" s="306"/>
      <c r="X46" s="2">
        <v>26</v>
      </c>
    </row>
    <row r="47" spans="1:24" s="106" customFormat="1" ht="90" customHeight="1" x14ac:dyDescent="0.3">
      <c r="A47" s="294">
        <v>10</v>
      </c>
      <c r="B47" s="300" t="s">
        <v>56</v>
      </c>
      <c r="C47" s="300" t="s">
        <v>146</v>
      </c>
      <c r="D47" s="300" t="s">
        <v>147</v>
      </c>
      <c r="E47" s="300" t="s">
        <v>113</v>
      </c>
      <c r="F47" s="296">
        <v>45654</v>
      </c>
      <c r="G47" s="413" t="s">
        <v>198</v>
      </c>
      <c r="H47" s="298">
        <v>488488</v>
      </c>
      <c r="I47" s="309">
        <f>IF(X47 = 27, H47 + SUM(S47:S48) - SUM(T47:T48) - SUM(P47:P48) - V47,0)</f>
        <v>229768</v>
      </c>
      <c r="J47" s="416">
        <v>2353020735</v>
      </c>
      <c r="K47" s="419" t="s">
        <v>156</v>
      </c>
      <c r="L47" s="300" t="s">
        <v>146</v>
      </c>
      <c r="M47" s="300"/>
      <c r="N47" s="217">
        <v>45688</v>
      </c>
      <c r="O47" s="296" t="s">
        <v>164</v>
      </c>
      <c r="P47" s="208">
        <v>123508</v>
      </c>
      <c r="Q47" s="209">
        <v>45706</v>
      </c>
      <c r="R47" s="210"/>
      <c r="S47" s="208"/>
      <c r="T47" s="208"/>
      <c r="U47" s="298"/>
      <c r="V47" s="360"/>
      <c r="W47" s="305"/>
      <c r="X47" s="106">
        <v>27</v>
      </c>
    </row>
    <row r="48" spans="1:24" s="2" customFormat="1" x14ac:dyDescent="0.3">
      <c r="A48" s="295"/>
      <c r="B48" s="301"/>
      <c r="C48" s="301"/>
      <c r="D48" s="301"/>
      <c r="E48" s="301"/>
      <c r="F48" s="297"/>
      <c r="G48" s="415"/>
      <c r="H48" s="299"/>
      <c r="I48" s="310"/>
      <c r="J48" s="418"/>
      <c r="K48" s="421"/>
      <c r="L48" s="301"/>
      <c r="M48" s="301"/>
      <c r="N48" s="219">
        <v>45716</v>
      </c>
      <c r="O48" s="297"/>
      <c r="P48" s="214">
        <v>135212</v>
      </c>
      <c r="Q48" s="215">
        <v>45730</v>
      </c>
      <c r="R48" s="216"/>
      <c r="S48" s="214"/>
      <c r="T48" s="214"/>
      <c r="U48" s="299"/>
      <c r="V48" s="362"/>
      <c r="W48" s="306"/>
      <c r="X48" s="2">
        <v>27</v>
      </c>
    </row>
    <row r="49" spans="1:24" s="106" customFormat="1" ht="162" customHeight="1" x14ac:dyDescent="0.3">
      <c r="A49" s="294">
        <v>11</v>
      </c>
      <c r="B49" s="300" t="s">
        <v>56</v>
      </c>
      <c r="C49" s="300" t="s">
        <v>146</v>
      </c>
      <c r="D49" s="300" t="s">
        <v>147</v>
      </c>
      <c r="E49" s="300" t="s">
        <v>202</v>
      </c>
      <c r="F49" s="296">
        <v>45677</v>
      </c>
      <c r="G49" s="413" t="s">
        <v>190</v>
      </c>
      <c r="H49" s="298">
        <v>246840</v>
      </c>
      <c r="I49" s="309">
        <f>IF(X49 = 28, H49 + SUM(S49:S54) - SUM(T49:T54) - SUM(P49:P54) - V49,0)</f>
        <v>218480</v>
      </c>
      <c r="J49" s="416">
        <v>235305769122</v>
      </c>
      <c r="K49" s="419" t="s">
        <v>159</v>
      </c>
      <c r="L49" s="300" t="s">
        <v>146</v>
      </c>
      <c r="M49" s="300"/>
      <c r="N49" s="217">
        <v>45688</v>
      </c>
      <c r="O49" s="296" t="s">
        <v>183</v>
      </c>
      <c r="P49" s="208">
        <v>8680</v>
      </c>
      <c r="Q49" s="209">
        <v>45702</v>
      </c>
      <c r="R49" s="210"/>
      <c r="S49" s="208"/>
      <c r="T49" s="208"/>
      <c r="U49" s="298"/>
      <c r="V49" s="360"/>
      <c r="W49" s="305"/>
      <c r="X49" s="106">
        <v>28</v>
      </c>
    </row>
    <row r="50" spans="1:24" s="2" customFormat="1" x14ac:dyDescent="0.3">
      <c r="A50" s="314"/>
      <c r="B50" s="313"/>
      <c r="C50" s="313"/>
      <c r="D50" s="313"/>
      <c r="E50" s="313"/>
      <c r="F50" s="316"/>
      <c r="G50" s="414"/>
      <c r="H50" s="304"/>
      <c r="I50" s="317"/>
      <c r="J50" s="417"/>
      <c r="K50" s="420"/>
      <c r="L50" s="313"/>
      <c r="M50" s="313"/>
      <c r="N50" s="218">
        <v>45688</v>
      </c>
      <c r="O50" s="316"/>
      <c r="P50" s="211">
        <v>2890</v>
      </c>
      <c r="Q50" s="212">
        <v>45702</v>
      </c>
      <c r="R50" s="213"/>
      <c r="S50" s="211"/>
      <c r="T50" s="211"/>
      <c r="U50" s="304"/>
      <c r="V50" s="361"/>
      <c r="W50" s="312"/>
      <c r="X50" s="2">
        <v>28</v>
      </c>
    </row>
    <row r="51" spans="1:24" s="2" customFormat="1" x14ac:dyDescent="0.3">
      <c r="A51" s="314"/>
      <c r="B51" s="313"/>
      <c r="C51" s="313"/>
      <c r="D51" s="313"/>
      <c r="E51" s="313"/>
      <c r="F51" s="316"/>
      <c r="G51" s="414"/>
      <c r="H51" s="304"/>
      <c r="I51" s="317"/>
      <c r="J51" s="417"/>
      <c r="K51" s="420"/>
      <c r="L51" s="313"/>
      <c r="M51" s="313"/>
      <c r="N51" s="218">
        <v>45688</v>
      </c>
      <c r="O51" s="316"/>
      <c r="P51" s="211">
        <v>2550</v>
      </c>
      <c r="Q51" s="212">
        <v>45702</v>
      </c>
      <c r="R51" s="213"/>
      <c r="S51" s="211"/>
      <c r="T51" s="211"/>
      <c r="U51" s="304"/>
      <c r="V51" s="361"/>
      <c r="W51" s="312"/>
      <c r="X51" s="2">
        <v>28</v>
      </c>
    </row>
    <row r="52" spans="1:24" s="2" customFormat="1" x14ac:dyDescent="0.3">
      <c r="A52" s="314"/>
      <c r="B52" s="313"/>
      <c r="C52" s="313"/>
      <c r="D52" s="313"/>
      <c r="E52" s="313"/>
      <c r="F52" s="316"/>
      <c r="G52" s="414"/>
      <c r="H52" s="304"/>
      <c r="I52" s="317"/>
      <c r="J52" s="417"/>
      <c r="K52" s="420"/>
      <c r="L52" s="313"/>
      <c r="M52" s="313"/>
      <c r="N52" s="218">
        <v>45716</v>
      </c>
      <c r="O52" s="316"/>
      <c r="P52" s="211">
        <v>3000</v>
      </c>
      <c r="Q52" s="212">
        <v>45727</v>
      </c>
      <c r="R52" s="213"/>
      <c r="S52" s="211"/>
      <c r="T52" s="211"/>
      <c r="U52" s="304"/>
      <c r="V52" s="361"/>
      <c r="W52" s="312"/>
      <c r="X52" s="2">
        <v>28</v>
      </c>
    </row>
    <row r="53" spans="1:24" s="2" customFormat="1" x14ac:dyDescent="0.3">
      <c r="A53" s="314"/>
      <c r="B53" s="313"/>
      <c r="C53" s="313"/>
      <c r="D53" s="313"/>
      <c r="E53" s="313"/>
      <c r="F53" s="316"/>
      <c r="G53" s="414"/>
      <c r="H53" s="304"/>
      <c r="I53" s="317"/>
      <c r="J53" s="417"/>
      <c r="K53" s="420"/>
      <c r="L53" s="313"/>
      <c r="M53" s="313"/>
      <c r="N53" s="218">
        <v>45716</v>
      </c>
      <c r="O53" s="316"/>
      <c r="P53" s="211">
        <v>7840</v>
      </c>
      <c r="Q53" s="212">
        <v>45727</v>
      </c>
      <c r="R53" s="213"/>
      <c r="S53" s="211"/>
      <c r="T53" s="211"/>
      <c r="U53" s="304"/>
      <c r="V53" s="361"/>
      <c r="W53" s="312"/>
      <c r="X53" s="2">
        <v>28</v>
      </c>
    </row>
    <row r="54" spans="1:24" s="2" customFormat="1" x14ac:dyDescent="0.3">
      <c r="A54" s="295"/>
      <c r="B54" s="301"/>
      <c r="C54" s="301"/>
      <c r="D54" s="301"/>
      <c r="E54" s="301"/>
      <c r="F54" s="297"/>
      <c r="G54" s="415"/>
      <c r="H54" s="299"/>
      <c r="I54" s="310"/>
      <c r="J54" s="418"/>
      <c r="K54" s="421"/>
      <c r="L54" s="301"/>
      <c r="M54" s="301"/>
      <c r="N54" s="219">
        <v>45716</v>
      </c>
      <c r="O54" s="297"/>
      <c r="P54" s="214">
        <v>3400</v>
      </c>
      <c r="Q54" s="215">
        <v>45727</v>
      </c>
      <c r="R54" s="216"/>
      <c r="S54" s="214"/>
      <c r="T54" s="214"/>
      <c r="U54" s="299"/>
      <c r="V54" s="362"/>
      <c r="W54" s="306"/>
      <c r="X54" s="2">
        <v>28</v>
      </c>
    </row>
    <row r="55" spans="1:24" s="106" customFormat="1" ht="131.25" customHeight="1" x14ac:dyDescent="0.3">
      <c r="A55" s="318">
        <v>12</v>
      </c>
      <c r="B55" s="324" t="s">
        <v>56</v>
      </c>
      <c r="C55" s="324" t="s">
        <v>146</v>
      </c>
      <c r="D55" s="324" t="s">
        <v>147</v>
      </c>
      <c r="E55" s="324" t="s">
        <v>203</v>
      </c>
      <c r="F55" s="320">
        <v>45654</v>
      </c>
      <c r="G55" s="365" t="s">
        <v>173</v>
      </c>
      <c r="H55" s="322">
        <v>27331.200000000001</v>
      </c>
      <c r="I55" s="367">
        <f>IF(X55 = 29, H55 + SUM(S55:S56) - SUM(T55:T56) - SUM(P55:P56) - V55,0)</f>
        <v>22776</v>
      </c>
      <c r="J55" s="369">
        <v>2310163739</v>
      </c>
      <c r="K55" s="371" t="s">
        <v>174</v>
      </c>
      <c r="L55" s="324" t="s">
        <v>146</v>
      </c>
      <c r="M55" s="324"/>
      <c r="N55" s="135">
        <v>45688</v>
      </c>
      <c r="O55" s="320" t="s">
        <v>183</v>
      </c>
      <c r="P55" s="136">
        <v>2277.6</v>
      </c>
      <c r="Q55" s="137">
        <v>45716</v>
      </c>
      <c r="R55" s="138"/>
      <c r="S55" s="136"/>
      <c r="T55" s="136"/>
      <c r="U55" s="322"/>
      <c r="V55" s="326"/>
      <c r="W55" s="363"/>
      <c r="X55" s="106">
        <v>29</v>
      </c>
    </row>
    <row r="56" spans="1:24" s="2" customFormat="1" x14ac:dyDescent="0.3">
      <c r="A56" s="319"/>
      <c r="B56" s="325"/>
      <c r="C56" s="325"/>
      <c r="D56" s="325"/>
      <c r="E56" s="325"/>
      <c r="F56" s="321"/>
      <c r="G56" s="366"/>
      <c r="H56" s="323"/>
      <c r="I56" s="368"/>
      <c r="J56" s="370"/>
      <c r="K56" s="372"/>
      <c r="L56" s="325"/>
      <c r="M56" s="325"/>
      <c r="N56" s="139">
        <v>45716</v>
      </c>
      <c r="O56" s="321"/>
      <c r="P56" s="140">
        <v>2277.6</v>
      </c>
      <c r="Q56" s="141">
        <v>45716</v>
      </c>
      <c r="R56" s="142"/>
      <c r="S56" s="140"/>
      <c r="T56" s="140"/>
      <c r="U56" s="323"/>
      <c r="V56" s="327"/>
      <c r="W56" s="364"/>
      <c r="X56" s="2">
        <v>29</v>
      </c>
    </row>
    <row r="57" spans="1:24" s="106" customFormat="1" ht="90" customHeight="1" x14ac:dyDescent="0.3">
      <c r="A57" s="384">
        <v>13</v>
      </c>
      <c r="B57" s="390" t="s">
        <v>56</v>
      </c>
      <c r="C57" s="390" t="s">
        <v>146</v>
      </c>
      <c r="D57" s="390" t="s">
        <v>147</v>
      </c>
      <c r="E57" s="390" t="s">
        <v>113</v>
      </c>
      <c r="F57" s="386">
        <v>45677</v>
      </c>
      <c r="G57" s="396" t="s">
        <v>204</v>
      </c>
      <c r="H57" s="388">
        <v>18000</v>
      </c>
      <c r="I57" s="398">
        <f>IF(X57 = 30, H57 + SUM(S57:S58) - SUM(T57:T58) - SUM(P57:P58) - V57,0)</f>
        <v>15000</v>
      </c>
      <c r="J57" s="400">
        <v>231107998282</v>
      </c>
      <c r="K57" s="402" t="s">
        <v>187</v>
      </c>
      <c r="L57" s="390" t="s">
        <v>146</v>
      </c>
      <c r="M57" s="390"/>
      <c r="N57" s="183">
        <v>45688</v>
      </c>
      <c r="O57" s="386" t="s">
        <v>183</v>
      </c>
      <c r="P57" s="177">
        <v>1500</v>
      </c>
      <c r="Q57" s="178">
        <v>45693</v>
      </c>
      <c r="R57" s="179"/>
      <c r="S57" s="177"/>
      <c r="T57" s="177"/>
      <c r="U57" s="388"/>
      <c r="V57" s="392"/>
      <c r="W57" s="394"/>
      <c r="X57" s="106">
        <v>30</v>
      </c>
    </row>
    <row r="58" spans="1:24" s="2" customFormat="1" x14ac:dyDescent="0.3">
      <c r="A58" s="385"/>
      <c r="B58" s="391"/>
      <c r="C58" s="391"/>
      <c r="D58" s="391"/>
      <c r="E58" s="391"/>
      <c r="F58" s="387"/>
      <c r="G58" s="397"/>
      <c r="H58" s="389"/>
      <c r="I58" s="399"/>
      <c r="J58" s="401"/>
      <c r="K58" s="403"/>
      <c r="L58" s="391"/>
      <c r="M58" s="391"/>
      <c r="N58" s="184">
        <v>45716</v>
      </c>
      <c r="O58" s="387"/>
      <c r="P58" s="180">
        <v>1500</v>
      </c>
      <c r="Q58" s="181">
        <v>45716</v>
      </c>
      <c r="R58" s="182"/>
      <c r="S58" s="180"/>
      <c r="T58" s="180"/>
      <c r="U58" s="389"/>
      <c r="V58" s="393"/>
      <c r="W58" s="395"/>
      <c r="X58" s="2">
        <v>30</v>
      </c>
    </row>
    <row r="59" spans="1:24" s="106" customFormat="1" ht="90" customHeight="1" x14ac:dyDescent="0.3">
      <c r="A59" s="294">
        <v>14</v>
      </c>
      <c r="B59" s="300" t="s">
        <v>56</v>
      </c>
      <c r="C59" s="300" t="s">
        <v>146</v>
      </c>
      <c r="D59" s="300" t="s">
        <v>147</v>
      </c>
      <c r="E59" s="300" t="s">
        <v>115</v>
      </c>
      <c r="F59" s="296">
        <v>45677</v>
      </c>
      <c r="G59" s="413" t="s">
        <v>205</v>
      </c>
      <c r="H59" s="298">
        <v>95004</v>
      </c>
      <c r="I59" s="309">
        <f>IF(X59 = 31, H59 + SUM(S59:S60) - SUM(T59:T60) - SUM(P59:P60) - V59,0)</f>
        <v>75456</v>
      </c>
      <c r="J59" s="416">
        <v>2353020735</v>
      </c>
      <c r="K59" s="419" t="s">
        <v>156</v>
      </c>
      <c r="L59" s="300" t="s">
        <v>146</v>
      </c>
      <c r="M59" s="300"/>
      <c r="N59" s="217">
        <v>45677</v>
      </c>
      <c r="O59" s="296" t="s">
        <v>183</v>
      </c>
      <c r="P59" s="208">
        <v>9639</v>
      </c>
      <c r="Q59" s="209">
        <v>45706</v>
      </c>
      <c r="R59" s="210"/>
      <c r="S59" s="208"/>
      <c r="T59" s="208"/>
      <c r="U59" s="298"/>
      <c r="V59" s="360"/>
      <c r="W59" s="305"/>
      <c r="X59" s="106">
        <v>31</v>
      </c>
    </row>
    <row r="60" spans="1:24" s="2" customFormat="1" x14ac:dyDescent="0.3">
      <c r="A60" s="295"/>
      <c r="B60" s="301"/>
      <c r="C60" s="301"/>
      <c r="D60" s="301"/>
      <c r="E60" s="301"/>
      <c r="F60" s="297"/>
      <c r="G60" s="415"/>
      <c r="H60" s="299"/>
      <c r="I60" s="310"/>
      <c r="J60" s="418"/>
      <c r="K60" s="421"/>
      <c r="L60" s="301"/>
      <c r="M60" s="301"/>
      <c r="N60" s="219">
        <v>45716</v>
      </c>
      <c r="O60" s="297"/>
      <c r="P60" s="214">
        <v>9909</v>
      </c>
      <c r="Q60" s="215">
        <v>45730</v>
      </c>
      <c r="R60" s="216"/>
      <c r="S60" s="214"/>
      <c r="T60" s="214"/>
      <c r="U60" s="299"/>
      <c r="V60" s="362"/>
      <c r="W60" s="306"/>
      <c r="X60" s="2">
        <v>31</v>
      </c>
    </row>
    <row r="61" spans="1:24" s="106" customFormat="1" ht="90" customHeight="1" x14ac:dyDescent="0.3">
      <c r="A61" s="294">
        <v>15</v>
      </c>
      <c r="B61" s="300" t="s">
        <v>56</v>
      </c>
      <c r="C61" s="300" t="s">
        <v>146</v>
      </c>
      <c r="D61" s="300" t="s">
        <v>147</v>
      </c>
      <c r="E61" s="300" t="s">
        <v>116</v>
      </c>
      <c r="F61" s="296">
        <v>45677</v>
      </c>
      <c r="G61" s="413" t="s">
        <v>205</v>
      </c>
      <c r="H61" s="298">
        <v>48048</v>
      </c>
      <c r="I61" s="309">
        <f>IF(X61 = 32, H61 + SUM(S61:S64) - SUM(T61:T64) - SUM(P61:P64) - V61,0)</f>
        <v>24024</v>
      </c>
      <c r="J61" s="416">
        <v>2353020735</v>
      </c>
      <c r="K61" s="419" t="s">
        <v>156</v>
      </c>
      <c r="L61" s="300" t="s">
        <v>146</v>
      </c>
      <c r="M61" s="300"/>
      <c r="N61" s="217">
        <v>45688</v>
      </c>
      <c r="O61" s="296" t="s">
        <v>183</v>
      </c>
      <c r="P61" s="208">
        <v>9240</v>
      </c>
      <c r="Q61" s="209">
        <v>45706</v>
      </c>
      <c r="R61" s="210"/>
      <c r="S61" s="208"/>
      <c r="T61" s="208"/>
      <c r="U61" s="298"/>
      <c r="V61" s="360"/>
      <c r="W61" s="305"/>
      <c r="X61" s="106">
        <v>32</v>
      </c>
    </row>
    <row r="62" spans="1:24" s="2" customFormat="1" x14ac:dyDescent="0.3">
      <c r="A62" s="314"/>
      <c r="B62" s="313"/>
      <c r="C62" s="313"/>
      <c r="D62" s="313"/>
      <c r="E62" s="313"/>
      <c r="F62" s="316"/>
      <c r="G62" s="414"/>
      <c r="H62" s="304"/>
      <c r="I62" s="317"/>
      <c r="J62" s="417"/>
      <c r="K62" s="420"/>
      <c r="L62" s="313"/>
      <c r="M62" s="313"/>
      <c r="N62" s="218">
        <v>45688</v>
      </c>
      <c r="O62" s="316"/>
      <c r="P62" s="211">
        <v>2310</v>
      </c>
      <c r="Q62" s="212">
        <v>45706</v>
      </c>
      <c r="R62" s="213"/>
      <c r="S62" s="211"/>
      <c r="T62" s="211"/>
      <c r="U62" s="304"/>
      <c r="V62" s="361"/>
      <c r="W62" s="312"/>
      <c r="X62" s="2">
        <v>32</v>
      </c>
    </row>
    <row r="63" spans="1:24" s="2" customFormat="1" x14ac:dyDescent="0.3">
      <c r="A63" s="314"/>
      <c r="B63" s="313"/>
      <c r="C63" s="313"/>
      <c r="D63" s="313"/>
      <c r="E63" s="313"/>
      <c r="F63" s="316"/>
      <c r="G63" s="414"/>
      <c r="H63" s="304"/>
      <c r="I63" s="317"/>
      <c r="J63" s="417"/>
      <c r="K63" s="420"/>
      <c r="L63" s="313"/>
      <c r="M63" s="313"/>
      <c r="N63" s="218">
        <v>45716</v>
      </c>
      <c r="O63" s="316"/>
      <c r="P63" s="211">
        <v>9979.2000000000007</v>
      </c>
      <c r="Q63" s="212">
        <v>45730</v>
      </c>
      <c r="R63" s="213"/>
      <c r="S63" s="211"/>
      <c r="T63" s="211"/>
      <c r="U63" s="304"/>
      <c r="V63" s="361"/>
      <c r="W63" s="312"/>
      <c r="X63" s="2">
        <v>32</v>
      </c>
    </row>
    <row r="64" spans="1:24" s="2" customFormat="1" x14ac:dyDescent="0.3">
      <c r="A64" s="295"/>
      <c r="B64" s="301"/>
      <c r="C64" s="301"/>
      <c r="D64" s="301"/>
      <c r="E64" s="301"/>
      <c r="F64" s="297"/>
      <c r="G64" s="415"/>
      <c r="H64" s="299"/>
      <c r="I64" s="310"/>
      <c r="J64" s="418"/>
      <c r="K64" s="421"/>
      <c r="L64" s="301"/>
      <c r="M64" s="301"/>
      <c r="N64" s="219">
        <v>45716</v>
      </c>
      <c r="O64" s="297"/>
      <c r="P64" s="214">
        <v>2494.8000000000002</v>
      </c>
      <c r="Q64" s="215">
        <v>45730</v>
      </c>
      <c r="R64" s="216"/>
      <c r="S64" s="214"/>
      <c r="T64" s="214"/>
      <c r="U64" s="299"/>
      <c r="V64" s="362"/>
      <c r="W64" s="306"/>
      <c r="X64" s="2">
        <v>32</v>
      </c>
    </row>
    <row r="65" spans="1:24" s="106" customFormat="1" ht="144" customHeight="1" x14ac:dyDescent="0.3">
      <c r="A65" s="384">
        <v>16</v>
      </c>
      <c r="B65" s="390" t="s">
        <v>56</v>
      </c>
      <c r="C65" s="390" t="s">
        <v>146</v>
      </c>
      <c r="D65" s="390" t="s">
        <v>147</v>
      </c>
      <c r="E65" s="390" t="s">
        <v>206</v>
      </c>
      <c r="F65" s="386">
        <v>45686</v>
      </c>
      <c r="G65" s="396" t="s">
        <v>207</v>
      </c>
      <c r="H65" s="388">
        <v>5640</v>
      </c>
      <c r="I65" s="398">
        <f>IF(X65 = 33, H65 + SUM(S65:S66) - SUM(T65:T66) - SUM(P65:P66) - V65,0)</f>
        <v>0</v>
      </c>
      <c r="J65" s="400">
        <v>6663003127</v>
      </c>
      <c r="K65" s="402" t="s">
        <v>208</v>
      </c>
      <c r="L65" s="390" t="s">
        <v>146</v>
      </c>
      <c r="M65" s="390"/>
      <c r="N65" s="183"/>
      <c r="O65" s="386" t="s">
        <v>209</v>
      </c>
      <c r="P65" s="177">
        <v>1692</v>
      </c>
      <c r="Q65" s="178">
        <v>45693</v>
      </c>
      <c r="R65" s="179"/>
      <c r="S65" s="177"/>
      <c r="T65" s="177"/>
      <c r="U65" s="388"/>
      <c r="V65" s="392"/>
      <c r="W65" s="394"/>
      <c r="X65" s="106">
        <v>33</v>
      </c>
    </row>
    <row r="66" spans="1:24" s="2" customFormat="1" x14ac:dyDescent="0.3">
      <c r="A66" s="385"/>
      <c r="B66" s="391"/>
      <c r="C66" s="391"/>
      <c r="D66" s="391"/>
      <c r="E66" s="391"/>
      <c r="F66" s="387"/>
      <c r="G66" s="397"/>
      <c r="H66" s="389"/>
      <c r="I66" s="399"/>
      <c r="J66" s="401"/>
      <c r="K66" s="403"/>
      <c r="L66" s="391"/>
      <c r="M66" s="391"/>
      <c r="N66" s="184">
        <v>45686</v>
      </c>
      <c r="O66" s="387"/>
      <c r="P66" s="180">
        <v>3948</v>
      </c>
      <c r="Q66" s="181">
        <v>45699</v>
      </c>
      <c r="R66" s="182"/>
      <c r="S66" s="180"/>
      <c r="T66" s="180"/>
      <c r="U66" s="389"/>
      <c r="V66" s="393"/>
      <c r="W66" s="395"/>
      <c r="X66" s="2">
        <v>33</v>
      </c>
    </row>
    <row r="67" spans="1:24" s="106" customFormat="1" ht="108" x14ac:dyDescent="0.3">
      <c r="A67" s="147">
        <v>17</v>
      </c>
      <c r="B67" s="148" t="s">
        <v>56</v>
      </c>
      <c r="C67" s="148" t="s">
        <v>146</v>
      </c>
      <c r="D67" s="148" t="s">
        <v>147</v>
      </c>
      <c r="E67" s="148" t="s">
        <v>130</v>
      </c>
      <c r="F67" s="158">
        <v>45686</v>
      </c>
      <c r="G67" s="151" t="s">
        <v>191</v>
      </c>
      <c r="H67" s="149">
        <v>30850</v>
      </c>
      <c r="I67" s="150">
        <f>IF(X67 = 34, H67 + SUM(S67:S67) - SUM(T67:T67) - SUM(P67:P67) - V67,0)</f>
        <v>0</v>
      </c>
      <c r="J67" s="155">
        <v>235303483777</v>
      </c>
      <c r="K67" s="156" t="s">
        <v>210</v>
      </c>
      <c r="L67" s="148" t="s">
        <v>146</v>
      </c>
      <c r="M67" s="148"/>
      <c r="N67" s="158">
        <v>45688</v>
      </c>
      <c r="O67" s="158" t="s">
        <v>183</v>
      </c>
      <c r="P67" s="149">
        <v>30850</v>
      </c>
      <c r="Q67" s="151">
        <v>45694</v>
      </c>
      <c r="R67" s="148"/>
      <c r="S67" s="149"/>
      <c r="T67" s="149"/>
      <c r="U67" s="149"/>
      <c r="V67" s="157"/>
      <c r="W67" s="154"/>
      <c r="X67" s="106">
        <v>34</v>
      </c>
    </row>
    <row r="68" spans="1:24" s="106" customFormat="1" ht="108" x14ac:dyDescent="0.3">
      <c r="A68" s="147">
        <v>18</v>
      </c>
      <c r="B68" s="148" t="s">
        <v>56</v>
      </c>
      <c r="C68" s="148" t="s">
        <v>146</v>
      </c>
      <c r="D68" s="148" t="s">
        <v>147</v>
      </c>
      <c r="E68" s="148" t="s">
        <v>219</v>
      </c>
      <c r="F68" s="169">
        <v>45708</v>
      </c>
      <c r="G68" s="151" t="s">
        <v>220</v>
      </c>
      <c r="H68" s="149">
        <v>88051.81</v>
      </c>
      <c r="I68" s="150">
        <f>IF(X68 = 35, H68 + SUM(S68:S68) - SUM(T68:T68) - SUM(P68:P68) - V68,0)</f>
        <v>88051.81</v>
      </c>
      <c r="J68" s="155">
        <v>7715995942</v>
      </c>
      <c r="K68" s="156" t="s">
        <v>221</v>
      </c>
      <c r="L68" s="148" t="s">
        <v>146</v>
      </c>
      <c r="M68" s="148"/>
      <c r="N68" s="169"/>
      <c r="O68" s="169" t="s">
        <v>183</v>
      </c>
      <c r="P68" s="149"/>
      <c r="Q68" s="151"/>
      <c r="R68" s="148"/>
      <c r="S68" s="149"/>
      <c r="T68" s="149"/>
      <c r="U68" s="149"/>
      <c r="V68" s="157"/>
      <c r="W68" s="167"/>
      <c r="X68" s="106">
        <v>35</v>
      </c>
    </row>
    <row r="69" spans="1:24" s="106" customFormat="1" ht="90" customHeight="1" x14ac:dyDescent="0.3">
      <c r="A69" s="330">
        <v>19</v>
      </c>
      <c r="B69" s="336" t="s">
        <v>56</v>
      </c>
      <c r="C69" s="336" t="s">
        <v>146</v>
      </c>
      <c r="D69" s="336" t="s">
        <v>147</v>
      </c>
      <c r="E69" s="336" t="s">
        <v>229</v>
      </c>
      <c r="F69" s="332">
        <v>45677</v>
      </c>
      <c r="G69" s="342" t="s">
        <v>230</v>
      </c>
      <c r="H69" s="334">
        <v>29510.04</v>
      </c>
      <c r="I69" s="344">
        <f>IF(X69 = 37, H69 + SUM(S69:S70) - SUM(T69:T70) - SUM(P69:P70) - V69,0)</f>
        <v>29510.04</v>
      </c>
      <c r="J69" s="346">
        <v>2353018870</v>
      </c>
      <c r="K69" s="348" t="s">
        <v>231</v>
      </c>
      <c r="L69" s="336" t="s">
        <v>146</v>
      </c>
      <c r="M69" s="336"/>
      <c r="N69" s="198"/>
      <c r="O69" s="332" t="s">
        <v>183</v>
      </c>
      <c r="P69" s="199"/>
      <c r="Q69" s="200"/>
      <c r="R69" s="201"/>
      <c r="S69" s="199"/>
      <c r="T69" s="199"/>
      <c r="U69" s="334"/>
      <c r="V69" s="338"/>
      <c r="W69" s="340"/>
      <c r="X69" s="106">
        <v>37</v>
      </c>
    </row>
    <row r="70" spans="1:24" s="2" customFormat="1" x14ac:dyDescent="0.3">
      <c r="A70" s="331"/>
      <c r="B70" s="337"/>
      <c r="C70" s="337"/>
      <c r="D70" s="337"/>
      <c r="E70" s="337"/>
      <c r="F70" s="333"/>
      <c r="G70" s="343"/>
      <c r="H70" s="335"/>
      <c r="I70" s="345"/>
      <c r="J70" s="347"/>
      <c r="K70" s="349"/>
      <c r="L70" s="337"/>
      <c r="M70" s="337"/>
      <c r="N70" s="202"/>
      <c r="O70" s="333"/>
      <c r="P70" s="203"/>
      <c r="Q70" s="204"/>
      <c r="R70" s="205"/>
      <c r="S70" s="203"/>
      <c r="T70" s="203"/>
      <c r="U70" s="335"/>
      <c r="V70" s="339"/>
      <c r="W70" s="341"/>
      <c r="X70" s="2">
        <v>37</v>
      </c>
    </row>
    <row r="71" spans="1:24" s="106" customFormat="1" ht="108" x14ac:dyDescent="0.3">
      <c r="A71" s="187">
        <v>20</v>
      </c>
      <c r="B71" s="188" t="s">
        <v>56</v>
      </c>
      <c r="C71" s="188" t="s">
        <v>146</v>
      </c>
      <c r="D71" s="188" t="s">
        <v>147</v>
      </c>
      <c r="E71" s="188" t="s">
        <v>234</v>
      </c>
      <c r="F71" s="196">
        <v>45714</v>
      </c>
      <c r="G71" s="190" t="s">
        <v>236</v>
      </c>
      <c r="H71" s="191">
        <v>2625</v>
      </c>
      <c r="I71" s="192">
        <f>IF(X71 = 38, H71 + SUM(S71:S71) - SUM(T71:T71) - SUM(P71:P71) - V71,0)</f>
        <v>0</v>
      </c>
      <c r="J71" s="193">
        <v>7728499444</v>
      </c>
      <c r="K71" s="194" t="s">
        <v>235</v>
      </c>
      <c r="L71" s="188" t="s">
        <v>146</v>
      </c>
      <c r="M71" s="188"/>
      <c r="N71" s="196">
        <v>45714</v>
      </c>
      <c r="O71" s="196" t="s">
        <v>183</v>
      </c>
      <c r="P71" s="191">
        <v>2625</v>
      </c>
      <c r="Q71" s="190">
        <v>45736</v>
      </c>
      <c r="R71" s="188"/>
      <c r="S71" s="191"/>
      <c r="T71" s="191"/>
      <c r="U71" s="191"/>
      <c r="V71" s="195"/>
      <c r="W71" s="185"/>
      <c r="X71" s="106">
        <v>38</v>
      </c>
    </row>
    <row r="72" spans="1:24" s="106" customFormat="1" ht="108" x14ac:dyDescent="0.3">
      <c r="A72" s="187">
        <v>21</v>
      </c>
      <c r="B72" s="188" t="s">
        <v>56</v>
      </c>
      <c r="C72" s="188" t="s">
        <v>146</v>
      </c>
      <c r="D72" s="188" t="s">
        <v>147</v>
      </c>
      <c r="E72" s="188" t="s">
        <v>121</v>
      </c>
      <c r="F72" s="196">
        <v>45726</v>
      </c>
      <c r="G72" s="190" t="s">
        <v>237</v>
      </c>
      <c r="H72" s="191">
        <v>66800</v>
      </c>
      <c r="I72" s="192">
        <f>IF(X72 = 39, H72 + SUM(S72:S72) - SUM(T72:T72) - SUM(P72:P72) - V72,0)</f>
        <v>0</v>
      </c>
      <c r="J72" s="193">
        <v>235000239811</v>
      </c>
      <c r="K72" s="194" t="s">
        <v>238</v>
      </c>
      <c r="L72" s="188" t="s">
        <v>146</v>
      </c>
      <c r="M72" s="188"/>
      <c r="N72" s="196">
        <v>45726</v>
      </c>
      <c r="O72" s="196" t="s">
        <v>183</v>
      </c>
      <c r="P72" s="191">
        <v>66800</v>
      </c>
      <c r="Q72" s="190">
        <v>45727</v>
      </c>
      <c r="R72" s="188"/>
      <c r="S72" s="191"/>
      <c r="T72" s="191"/>
      <c r="U72" s="191"/>
      <c r="V72" s="195"/>
      <c r="W72" s="185"/>
      <c r="X72" s="106">
        <v>39</v>
      </c>
    </row>
    <row r="73" spans="1:24" s="106" customFormat="1" ht="108" x14ac:dyDescent="0.3">
      <c r="A73" s="187">
        <v>22</v>
      </c>
      <c r="B73" s="188" t="s">
        <v>56</v>
      </c>
      <c r="C73" s="188" t="s">
        <v>146</v>
      </c>
      <c r="D73" s="188" t="s">
        <v>147</v>
      </c>
      <c r="E73" s="188" t="s">
        <v>128</v>
      </c>
      <c r="F73" s="196">
        <v>45740</v>
      </c>
      <c r="G73" s="190" t="s">
        <v>245</v>
      </c>
      <c r="H73" s="191">
        <v>31370</v>
      </c>
      <c r="I73" s="192">
        <f>IF(X73 = 40, H73 + SUM(S73:S73) - SUM(T73:T73) - SUM(P73:P73) - V73,0)</f>
        <v>0</v>
      </c>
      <c r="J73" s="193">
        <v>231500102141</v>
      </c>
      <c r="K73" s="194" t="s">
        <v>246</v>
      </c>
      <c r="L73" s="188" t="s">
        <v>146</v>
      </c>
      <c r="M73" s="188"/>
      <c r="N73" s="196">
        <v>45740</v>
      </c>
      <c r="O73" s="196" t="s">
        <v>183</v>
      </c>
      <c r="P73" s="191">
        <v>31370</v>
      </c>
      <c r="Q73" s="190">
        <v>45741</v>
      </c>
      <c r="R73" s="188"/>
      <c r="S73" s="191"/>
      <c r="T73" s="191"/>
      <c r="U73" s="191"/>
      <c r="V73" s="195"/>
      <c r="W73" s="185"/>
      <c r="X73" s="106">
        <v>40</v>
      </c>
    </row>
    <row r="74" spans="1:24" s="106" customFormat="1" ht="108" x14ac:dyDescent="0.3">
      <c r="A74" s="187">
        <v>23</v>
      </c>
      <c r="B74" s="188" t="s">
        <v>56</v>
      </c>
      <c r="C74" s="188" t="s">
        <v>146</v>
      </c>
      <c r="D74" s="188" t="s">
        <v>147</v>
      </c>
      <c r="E74" s="188" t="s">
        <v>130</v>
      </c>
      <c r="F74" s="196">
        <v>45741</v>
      </c>
      <c r="G74" s="190" t="s">
        <v>191</v>
      </c>
      <c r="H74" s="191">
        <v>24340</v>
      </c>
      <c r="I74" s="192">
        <f>IF(X74 = 41, H74 + SUM(S74:S74) - SUM(T74:T74) - SUM(P74:P74) - V74,0)</f>
        <v>24340</v>
      </c>
      <c r="J74" s="193">
        <v>235303483777</v>
      </c>
      <c r="K74" s="194" t="s">
        <v>210</v>
      </c>
      <c r="L74" s="188" t="s">
        <v>146</v>
      </c>
      <c r="M74" s="188"/>
      <c r="N74" s="196"/>
      <c r="O74" s="196" t="s">
        <v>183</v>
      </c>
      <c r="P74" s="191"/>
      <c r="Q74" s="190"/>
      <c r="R74" s="188"/>
      <c r="S74" s="191"/>
      <c r="T74" s="191"/>
      <c r="U74" s="191"/>
      <c r="V74" s="195"/>
      <c r="W74" s="185"/>
      <c r="X74" s="106">
        <v>41</v>
      </c>
    </row>
    <row r="75" spans="1:24" s="106" customFormat="1" ht="108" x14ac:dyDescent="0.3">
      <c r="A75" s="231">
        <v>24</v>
      </c>
      <c r="B75" s="230" t="s">
        <v>56</v>
      </c>
      <c r="C75" s="230" t="s">
        <v>146</v>
      </c>
      <c r="D75" s="230" t="s">
        <v>147</v>
      </c>
      <c r="E75" s="230" t="s">
        <v>247</v>
      </c>
      <c r="F75" s="238">
        <v>45740</v>
      </c>
      <c r="G75" s="232" t="s">
        <v>248</v>
      </c>
      <c r="H75" s="233">
        <v>36000</v>
      </c>
      <c r="I75" s="234">
        <f>IF(X75 = 42, H75 + SUM(S75:S75) - SUM(T75:T75) - SUM(P75:P75) - V75,0)</f>
        <v>36000</v>
      </c>
      <c r="J75" s="235">
        <v>2353006498</v>
      </c>
      <c r="K75" s="236" t="s">
        <v>249</v>
      </c>
      <c r="L75" s="230" t="s">
        <v>146</v>
      </c>
      <c r="M75" s="230"/>
      <c r="N75" s="238"/>
      <c r="O75" s="238" t="s">
        <v>183</v>
      </c>
      <c r="P75" s="233"/>
      <c r="Q75" s="232"/>
      <c r="R75" s="230"/>
      <c r="S75" s="233"/>
      <c r="T75" s="233"/>
      <c r="U75" s="233"/>
      <c r="V75" s="237"/>
      <c r="W75" s="226"/>
      <c r="X75" s="106">
        <v>42</v>
      </c>
    </row>
    <row r="76" spans="1:24" s="106" customFormat="1" ht="108" x14ac:dyDescent="0.3">
      <c r="A76" s="231">
        <v>25</v>
      </c>
      <c r="B76" s="230" t="s">
        <v>56</v>
      </c>
      <c r="C76" s="230" t="s">
        <v>162</v>
      </c>
      <c r="D76" s="230" t="s">
        <v>147</v>
      </c>
      <c r="E76" s="230" t="s">
        <v>250</v>
      </c>
      <c r="F76" s="238">
        <v>45743</v>
      </c>
      <c r="G76" s="232" t="s">
        <v>163</v>
      </c>
      <c r="H76" s="233">
        <v>498100</v>
      </c>
      <c r="I76" s="234">
        <f>IF(X76 = 43, H76 + SUM(S76:S76) - SUM(T76:T76) - SUM(P76:P76) - V76,0)</f>
        <v>498100</v>
      </c>
      <c r="J76" s="235">
        <v>2310195709</v>
      </c>
      <c r="K76" s="236" t="s">
        <v>200</v>
      </c>
      <c r="L76" s="230" t="s">
        <v>146</v>
      </c>
      <c r="M76" s="230"/>
      <c r="N76" s="238"/>
      <c r="O76" s="238" t="s">
        <v>183</v>
      </c>
      <c r="P76" s="233"/>
      <c r="Q76" s="232"/>
      <c r="R76" s="230"/>
      <c r="S76" s="233"/>
      <c r="T76" s="233"/>
      <c r="U76" s="233"/>
      <c r="V76" s="237"/>
      <c r="W76" s="226"/>
      <c r="X76" s="106">
        <v>43</v>
      </c>
    </row>
    <row r="77" spans="1:24" x14ac:dyDescent="0.3">
      <c r="B77" s="107"/>
      <c r="X77" s="8">
        <v>44</v>
      </c>
    </row>
    <row r="78" spans="1:24" x14ac:dyDescent="0.3">
      <c r="B78" s="107"/>
    </row>
    <row r="79" spans="1:24" x14ac:dyDescent="0.3">
      <c r="B79" s="107"/>
    </row>
    <row r="80" spans="1:24" x14ac:dyDescent="0.3">
      <c r="B80" s="107"/>
      <c r="E80" s="45"/>
    </row>
  </sheetData>
  <sheetProtection password="EB34" sheet="1" objects="1" scenarios="1" formatCells="0" formatColumns="0" formatRows="0"/>
  <mergeCells count="275">
    <mergeCell ref="M11:M14"/>
    <mergeCell ref="D11:D14"/>
    <mergeCell ref="E11:E14"/>
    <mergeCell ref="F11:F14"/>
    <mergeCell ref="G11:G14"/>
    <mergeCell ref="H11:H14"/>
    <mergeCell ref="I11:I14"/>
    <mergeCell ref="J11:J14"/>
    <mergeCell ref="K11:K14"/>
    <mergeCell ref="L11:L14"/>
    <mergeCell ref="A11:A14"/>
    <mergeCell ref="O11:O14"/>
    <mergeCell ref="U11:U14"/>
    <mergeCell ref="B11:B14"/>
    <mergeCell ref="V11:V14"/>
    <mergeCell ref="C11:C14"/>
    <mergeCell ref="W11:W14"/>
    <mergeCell ref="V37:V46"/>
    <mergeCell ref="C37:C46"/>
    <mergeCell ref="W37:W46"/>
    <mergeCell ref="D37:D46"/>
    <mergeCell ref="E37:E46"/>
    <mergeCell ref="F37:F46"/>
    <mergeCell ref="G37:G46"/>
    <mergeCell ref="H37:H46"/>
    <mergeCell ref="I37:I46"/>
    <mergeCell ref="J37:J46"/>
    <mergeCell ref="K37:K46"/>
    <mergeCell ref="L37:L46"/>
    <mergeCell ref="M37:M46"/>
    <mergeCell ref="A37:A46"/>
    <mergeCell ref="O37:O46"/>
    <mergeCell ref="U37:U46"/>
    <mergeCell ref="B37:B46"/>
    <mergeCell ref="A61:A64"/>
    <mergeCell ref="O61:O64"/>
    <mergeCell ref="U61:U64"/>
    <mergeCell ref="B61:B64"/>
    <mergeCell ref="V61:V64"/>
    <mergeCell ref="C61:C64"/>
    <mergeCell ref="W61:W64"/>
    <mergeCell ref="A59:A60"/>
    <mergeCell ref="O59:O60"/>
    <mergeCell ref="U59:U60"/>
    <mergeCell ref="B59:B60"/>
    <mergeCell ref="V59:V60"/>
    <mergeCell ref="C59:C60"/>
    <mergeCell ref="W59:W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A22:A23"/>
    <mergeCell ref="O22:O23"/>
    <mergeCell ref="U22:U23"/>
    <mergeCell ref="B22:B23"/>
    <mergeCell ref="V22:V23"/>
    <mergeCell ref="C22:C23"/>
    <mergeCell ref="W22:W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A49:A54"/>
    <mergeCell ref="G49:G54"/>
    <mergeCell ref="H49:H54"/>
    <mergeCell ref="I49:I54"/>
    <mergeCell ref="J49:J54"/>
    <mergeCell ref="K49:K54"/>
    <mergeCell ref="L49:L54"/>
    <mergeCell ref="M49:M54"/>
    <mergeCell ref="A47:A48"/>
    <mergeCell ref="B49:B54"/>
    <mergeCell ref="C49:C54"/>
    <mergeCell ref="D49:D54"/>
    <mergeCell ref="E49:E54"/>
    <mergeCell ref="F49:F54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A9:A10"/>
    <mergeCell ref="O9:O10"/>
    <mergeCell ref="U9:U10"/>
    <mergeCell ref="B9:B10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15:A21"/>
    <mergeCell ref="O15:O21"/>
    <mergeCell ref="U15:U21"/>
    <mergeCell ref="B15:B21"/>
    <mergeCell ref="V15:V21"/>
    <mergeCell ref="C15:C21"/>
    <mergeCell ref="W15:W21"/>
    <mergeCell ref="D15:D21"/>
    <mergeCell ref="E15:E21"/>
    <mergeCell ref="F15:F21"/>
    <mergeCell ref="G15:G21"/>
    <mergeCell ref="H15:H21"/>
    <mergeCell ref="I15:I21"/>
    <mergeCell ref="J15:J21"/>
    <mergeCell ref="K15:K21"/>
    <mergeCell ref="L15:L21"/>
    <mergeCell ref="M15:M21"/>
    <mergeCell ref="W57:W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B35:B36"/>
    <mergeCell ref="V35:V36"/>
    <mergeCell ref="C35:C36"/>
    <mergeCell ref="B57:B58"/>
    <mergeCell ref="V57:V58"/>
    <mergeCell ref="C57:C58"/>
    <mergeCell ref="D61:D64"/>
    <mergeCell ref="E61:E64"/>
    <mergeCell ref="F61:F64"/>
    <mergeCell ref="G61:G64"/>
    <mergeCell ref="H61:H64"/>
    <mergeCell ref="I61:I64"/>
    <mergeCell ref="J61:J64"/>
    <mergeCell ref="K61:K64"/>
    <mergeCell ref="L61:L64"/>
    <mergeCell ref="M61:M64"/>
    <mergeCell ref="L47:L48"/>
    <mergeCell ref="M47:M48"/>
    <mergeCell ref="O47:O48"/>
    <mergeCell ref="A57:A58"/>
    <mergeCell ref="O57:O58"/>
    <mergeCell ref="U57:U58"/>
    <mergeCell ref="A35:A36"/>
    <mergeCell ref="O35:O36"/>
    <mergeCell ref="U35:U36"/>
    <mergeCell ref="A24:A28"/>
    <mergeCell ref="O24:O28"/>
    <mergeCell ref="V24:V28"/>
    <mergeCell ref="M35:M36"/>
    <mergeCell ref="D29:D33"/>
    <mergeCell ref="E29:E33"/>
    <mergeCell ref="F29:F33"/>
    <mergeCell ref="G29:G33"/>
    <mergeCell ref="H29:H33"/>
    <mergeCell ref="I29:I33"/>
    <mergeCell ref="J29:J33"/>
    <mergeCell ref="K29:K33"/>
    <mergeCell ref="L29:L33"/>
    <mergeCell ref="M29:M33"/>
    <mergeCell ref="D35:D36"/>
    <mergeCell ref="E35:E36"/>
    <mergeCell ref="F35:F36"/>
    <mergeCell ref="G35:G36"/>
    <mergeCell ref="A65:A66"/>
    <mergeCell ref="O65:O66"/>
    <mergeCell ref="U65:U66"/>
    <mergeCell ref="B65:B66"/>
    <mergeCell ref="V65:V66"/>
    <mergeCell ref="C65:C66"/>
    <mergeCell ref="W65:W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W24:W28"/>
    <mergeCell ref="A29:A33"/>
    <mergeCell ref="S2:U2"/>
    <mergeCell ref="F2:G2"/>
    <mergeCell ref="N2:O2"/>
    <mergeCell ref="U24:U28"/>
    <mergeCell ref="B24:B28"/>
    <mergeCell ref="C24:C28"/>
    <mergeCell ref="D24:D28"/>
    <mergeCell ref="E24:E28"/>
    <mergeCell ref="F24:F28"/>
    <mergeCell ref="G24:G28"/>
    <mergeCell ref="H24:H28"/>
    <mergeCell ref="I24:I28"/>
    <mergeCell ref="J24:J28"/>
    <mergeCell ref="K24:K28"/>
    <mergeCell ref="L24:L28"/>
    <mergeCell ref="M24:M28"/>
    <mergeCell ref="O29:O33"/>
    <mergeCell ref="U29:U33"/>
    <mergeCell ref="W29:W33"/>
    <mergeCell ref="B29:B33"/>
    <mergeCell ref="V29:V33"/>
    <mergeCell ref="C29:C33"/>
    <mergeCell ref="W55:W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H35:H36"/>
    <mergeCell ref="I35:I36"/>
    <mergeCell ref="J35:J36"/>
    <mergeCell ref="K35:K36"/>
    <mergeCell ref="L35:L36"/>
    <mergeCell ref="O49:O54"/>
    <mergeCell ref="U49:U54"/>
    <mergeCell ref="V49:V54"/>
    <mergeCell ref="W49:W54"/>
    <mergeCell ref="U47:U48"/>
    <mergeCell ref="V47:V48"/>
    <mergeCell ref="W47:W48"/>
    <mergeCell ref="A55:A56"/>
    <mergeCell ref="O55:O56"/>
    <mergeCell ref="U55:U56"/>
    <mergeCell ref="B55:B56"/>
    <mergeCell ref="V55:V56"/>
    <mergeCell ref="C55:C56"/>
    <mergeCell ref="W35:W36"/>
    <mergeCell ref="A69:A70"/>
    <mergeCell ref="O69:O70"/>
    <mergeCell ref="U69:U70"/>
    <mergeCell ref="B69:B70"/>
    <mergeCell ref="V69:V70"/>
    <mergeCell ref="C69:C70"/>
    <mergeCell ref="W69:W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3"/>
  <sheetViews>
    <sheetView showGridLines="0" zoomScale="70" zoomScaleNormal="70" workbookViewId="0">
      <pane ySplit="8" topLeftCell="A9" activePane="bottomLeft" state="frozen"/>
      <selection pane="bottomLeft" activeCell="L11" sqref="L11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375" t="s">
        <v>24</v>
      </c>
      <c r="F2" s="376"/>
      <c r="G2" s="98">
        <f>SUM(G9:G9999)</f>
        <v>2340353.5699999998</v>
      </c>
      <c r="L2" s="440" t="s">
        <v>137</v>
      </c>
      <c r="M2" s="441"/>
      <c r="N2" s="87">
        <f>SUM(N9:N9999)</f>
        <v>549937.68999999994</v>
      </c>
      <c r="P2" s="86"/>
      <c r="Q2" s="290" t="s">
        <v>45</v>
      </c>
      <c r="R2" s="291"/>
      <c r="S2" s="292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6" customFormat="1" ht="37.5" customHeight="1" x14ac:dyDescent="0.3">
      <c r="A9" s="422">
        <v>1</v>
      </c>
      <c r="B9" s="425"/>
      <c r="C9" s="425" t="s">
        <v>170</v>
      </c>
      <c r="D9" s="425" t="s">
        <v>152</v>
      </c>
      <c r="E9" s="428">
        <v>45654</v>
      </c>
      <c r="F9" s="431" t="s">
        <v>153</v>
      </c>
      <c r="G9" s="434">
        <v>1380000</v>
      </c>
      <c r="H9" s="442">
        <f>IF(V9 = 1, G9 + SUM(Q9:Q11) - SUM(R9:R11) - SUM(N9:N11) - T9,0)</f>
        <v>830062.31</v>
      </c>
      <c r="I9" s="445">
        <v>2312054894</v>
      </c>
      <c r="J9" s="425" t="s">
        <v>154</v>
      </c>
      <c r="K9" s="425" t="s">
        <v>155</v>
      </c>
      <c r="L9" s="112">
        <v>45688</v>
      </c>
      <c r="M9" s="425" t="s">
        <v>151</v>
      </c>
      <c r="N9" s="108">
        <v>250889.21</v>
      </c>
      <c r="O9" s="112">
        <v>45706</v>
      </c>
      <c r="P9" s="109"/>
      <c r="Q9" s="108"/>
      <c r="R9" s="108"/>
      <c r="S9" s="431"/>
      <c r="T9" s="434"/>
      <c r="U9" s="437"/>
      <c r="V9" s="106">
        <v>1</v>
      </c>
    </row>
    <row r="10" spans="1:22" s="2" customFormat="1" x14ac:dyDescent="0.3">
      <c r="A10" s="423"/>
      <c r="B10" s="426"/>
      <c r="C10" s="426"/>
      <c r="D10" s="426"/>
      <c r="E10" s="429"/>
      <c r="F10" s="432"/>
      <c r="G10" s="435"/>
      <c r="H10" s="443"/>
      <c r="I10" s="446"/>
      <c r="J10" s="426"/>
      <c r="K10" s="426"/>
      <c r="L10" s="114">
        <v>45716</v>
      </c>
      <c r="M10" s="426"/>
      <c r="N10" s="115">
        <v>299048.48</v>
      </c>
      <c r="O10" s="114">
        <v>45734</v>
      </c>
      <c r="P10" s="116"/>
      <c r="Q10" s="115"/>
      <c r="R10" s="115"/>
      <c r="S10" s="432"/>
      <c r="T10" s="435"/>
      <c r="U10" s="438"/>
      <c r="V10" s="2">
        <v>1</v>
      </c>
    </row>
    <row r="11" spans="1:22" s="2" customFormat="1" x14ac:dyDescent="0.3">
      <c r="A11" s="424"/>
      <c r="B11" s="427"/>
      <c r="C11" s="427"/>
      <c r="D11" s="427"/>
      <c r="E11" s="430"/>
      <c r="F11" s="433"/>
      <c r="G11" s="436"/>
      <c r="H11" s="444"/>
      <c r="I11" s="447"/>
      <c r="J11" s="427"/>
      <c r="K11" s="427"/>
      <c r="L11" s="113"/>
      <c r="M11" s="427"/>
      <c r="N11" s="110"/>
      <c r="O11" s="113"/>
      <c r="P11" s="111"/>
      <c r="Q11" s="110"/>
      <c r="R11" s="110"/>
      <c r="S11" s="433"/>
      <c r="T11" s="436"/>
      <c r="U11" s="439"/>
      <c r="V11" s="2">
        <v>1</v>
      </c>
    </row>
    <row r="12" spans="1:22" s="106" customFormat="1" ht="54" x14ac:dyDescent="0.3">
      <c r="A12" s="147">
        <v>2</v>
      </c>
      <c r="B12" s="148"/>
      <c r="C12" s="148" t="s">
        <v>147</v>
      </c>
      <c r="D12" s="148" t="s">
        <v>222</v>
      </c>
      <c r="E12" s="172">
        <v>45709</v>
      </c>
      <c r="F12" s="151" t="s">
        <v>223</v>
      </c>
      <c r="G12" s="149">
        <v>960353.57</v>
      </c>
      <c r="H12" s="150">
        <f>IF(V12 = 2, G12 + SUM(Q12:Q12) - SUM(R12:R12) - SUM(N12:N12) - T12,0)</f>
        <v>960353.57</v>
      </c>
      <c r="I12" s="171">
        <v>7715995942</v>
      </c>
      <c r="J12" s="148" t="s">
        <v>221</v>
      </c>
      <c r="K12" s="148" t="s">
        <v>224</v>
      </c>
      <c r="L12" s="172"/>
      <c r="M12" s="148" t="s">
        <v>225</v>
      </c>
      <c r="N12" s="149"/>
      <c r="O12" s="172"/>
      <c r="P12" s="151"/>
      <c r="Q12" s="149"/>
      <c r="R12" s="149"/>
      <c r="S12" s="151"/>
      <c r="T12" s="149"/>
      <c r="U12" s="168"/>
      <c r="V12" s="106">
        <v>2</v>
      </c>
    </row>
    <row r="13" spans="1:22" x14ac:dyDescent="0.3">
      <c r="V13" s="8">
        <v>3</v>
      </c>
    </row>
  </sheetData>
  <sheetProtection password="EB34" sheet="1" objects="1" scenarios="1" formatCells="0" formatColumns="0" formatRows="0"/>
  <mergeCells count="18">
    <mergeCell ref="T9:T11"/>
    <mergeCell ref="C9:C11"/>
    <mergeCell ref="U9:U11"/>
    <mergeCell ref="Q2:S2"/>
    <mergeCell ref="E2:F2"/>
    <mergeCell ref="L2:M2"/>
    <mergeCell ref="G9:G11"/>
    <mergeCell ref="H9:H11"/>
    <mergeCell ref="I9:I11"/>
    <mergeCell ref="J9:J11"/>
    <mergeCell ref="K9:K11"/>
    <mergeCell ref="M9:M11"/>
    <mergeCell ref="S9:S11"/>
    <mergeCell ref="A9:A11"/>
    <mergeCell ref="B9:B11"/>
    <mergeCell ref="D9:D11"/>
    <mergeCell ref="E9:E11"/>
    <mergeCell ref="F9:F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1"/>
  <sheetViews>
    <sheetView showGridLines="0" tabSelected="1" topLeftCell="E1" zoomScale="70" zoomScaleNormal="70" workbookViewId="0">
      <pane ySplit="8" topLeftCell="A9" activePane="bottomLeft" state="frozen"/>
      <selection pane="bottomLeft" activeCell="U9" sqref="U9:U10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375" t="s">
        <v>139</v>
      </c>
      <c r="F2" s="376"/>
      <c r="G2" s="100">
        <f>SUM(G9:G9999)</f>
        <v>740880</v>
      </c>
      <c r="H2" s="15"/>
      <c r="O2" s="375" t="s">
        <v>24</v>
      </c>
      <c r="P2" s="376"/>
      <c r="Q2" s="98">
        <f>SUM(Q9:Q9999)</f>
        <v>674200.8</v>
      </c>
      <c r="T2" s="290" t="s">
        <v>137</v>
      </c>
      <c r="U2" s="292"/>
      <c r="V2" s="87">
        <f>SUM(V9:V9999)</f>
        <v>270597.59999999998</v>
      </c>
      <c r="X2" s="86"/>
      <c r="Y2" s="290" t="s">
        <v>45</v>
      </c>
      <c r="Z2" s="291"/>
      <c r="AA2" s="292"/>
      <c r="AB2" s="88">
        <f>SUM(AB9:AB9999)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ht="16.95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52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6" customFormat="1" ht="144" customHeight="1" x14ac:dyDescent="0.3">
      <c r="A9" s="448">
        <v>1</v>
      </c>
      <c r="B9" s="452" t="s">
        <v>56</v>
      </c>
      <c r="C9" s="452" t="s">
        <v>195</v>
      </c>
      <c r="D9" s="452" t="s">
        <v>147</v>
      </c>
      <c r="E9" s="452" t="s">
        <v>197</v>
      </c>
      <c r="F9" s="452" t="s">
        <v>181</v>
      </c>
      <c r="G9" s="454">
        <v>740880</v>
      </c>
      <c r="H9" s="456">
        <f>IF(AD9 = 1, G9 - Q9,0)</f>
        <v>66679.199999999953</v>
      </c>
      <c r="I9" s="454">
        <v>2</v>
      </c>
      <c r="J9" s="454"/>
      <c r="K9" s="452" t="s">
        <v>162</v>
      </c>
      <c r="L9" s="452" t="s">
        <v>196</v>
      </c>
      <c r="M9" s="452" t="s">
        <v>180</v>
      </c>
      <c r="N9" s="460">
        <v>45283</v>
      </c>
      <c r="O9" s="462">
        <v>2304067057</v>
      </c>
      <c r="P9" s="464" t="s">
        <v>182</v>
      </c>
      <c r="Q9" s="454">
        <v>674200.8</v>
      </c>
      <c r="R9" s="456">
        <f>IF(AD9 = 1, Q9 + SUM(Y9:Y10) - SUM(Z9:Z10) - SUM(V9:V10) - AB9,0)</f>
        <v>403603.20000000007</v>
      </c>
      <c r="S9" s="452"/>
      <c r="T9" s="227">
        <v>45691</v>
      </c>
      <c r="U9" s="450" t="s">
        <v>164</v>
      </c>
      <c r="V9" s="220">
        <v>142178.4</v>
      </c>
      <c r="W9" s="227">
        <v>45700</v>
      </c>
      <c r="X9" s="221"/>
      <c r="Y9" s="220"/>
      <c r="Z9" s="220"/>
      <c r="AA9" s="450"/>
      <c r="AB9" s="454"/>
      <c r="AC9" s="458"/>
      <c r="AD9" s="106">
        <v>1</v>
      </c>
    </row>
    <row r="10" spans="1:33" s="2" customFormat="1" x14ac:dyDescent="0.3">
      <c r="A10" s="449"/>
      <c r="B10" s="453"/>
      <c r="C10" s="453"/>
      <c r="D10" s="453"/>
      <c r="E10" s="453"/>
      <c r="F10" s="453"/>
      <c r="G10" s="455"/>
      <c r="H10" s="457"/>
      <c r="I10" s="455"/>
      <c r="J10" s="455"/>
      <c r="K10" s="453"/>
      <c r="L10" s="453"/>
      <c r="M10" s="453"/>
      <c r="N10" s="461"/>
      <c r="O10" s="463"/>
      <c r="P10" s="465"/>
      <c r="Q10" s="455"/>
      <c r="R10" s="457"/>
      <c r="S10" s="453"/>
      <c r="T10" s="229">
        <v>45719</v>
      </c>
      <c r="U10" s="451"/>
      <c r="V10" s="224">
        <v>128419.2</v>
      </c>
      <c r="W10" s="229">
        <v>45726</v>
      </c>
      <c r="X10" s="225"/>
      <c r="Y10" s="224"/>
      <c r="Z10" s="224"/>
      <c r="AA10" s="451"/>
      <c r="AB10" s="455"/>
      <c r="AC10" s="459"/>
      <c r="AD10" s="2">
        <v>1</v>
      </c>
    </row>
    <row r="11" spans="1:33" x14ac:dyDescent="0.3">
      <c r="AD11" s="8">
        <v>2</v>
      </c>
    </row>
  </sheetData>
  <sheetProtection password="EB34" sheet="1" objects="1" scenarios="1" formatCells="0" formatColumns="0" formatRows="0"/>
  <mergeCells count="27">
    <mergeCell ref="AB9:AB10"/>
    <mergeCell ref="C9:C10"/>
    <mergeCell ref="AC9:A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E2:F2"/>
    <mergeCell ref="O2:P2"/>
    <mergeCell ref="Y2:AA2"/>
    <mergeCell ref="T2:U2"/>
    <mergeCell ref="A9:A10"/>
    <mergeCell ref="U9:U10"/>
    <mergeCell ref="AA9:AA10"/>
    <mergeCell ref="B9:B10"/>
    <mergeCell ref="Q9:Q10"/>
    <mergeCell ref="R9:R10"/>
    <mergeCell ref="S9:S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24"/>
  <sheetViews>
    <sheetView showGridLines="0" topLeftCell="D1" zoomScale="70" zoomScaleNormal="70" workbookViewId="0">
      <pane ySplit="8" topLeftCell="A12" activePane="bottomLeft" state="frozen"/>
      <selection pane="bottomLeft" activeCell="U9" sqref="U9:U23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375" t="s">
        <v>139</v>
      </c>
      <c r="F2" s="376"/>
      <c r="G2" s="100">
        <f>SUM(G9:G9999)</f>
        <v>1599844.19</v>
      </c>
      <c r="H2" s="15"/>
      <c r="O2" s="375" t="s">
        <v>24</v>
      </c>
      <c r="P2" s="376"/>
      <c r="Q2" s="98">
        <f>SUM(Q9:Q9999)</f>
        <v>1599844.19</v>
      </c>
      <c r="T2" s="290" t="s">
        <v>137</v>
      </c>
      <c r="U2" s="292"/>
      <c r="V2" s="87">
        <f>SUM(V9:V9999)</f>
        <v>727886.77</v>
      </c>
      <c r="X2" s="86"/>
      <c r="Y2" s="290" t="s">
        <v>45</v>
      </c>
      <c r="Z2" s="291"/>
      <c r="AA2" s="292"/>
      <c r="AB2" s="88">
        <f>SUM(AB9:AB9999)</f>
        <v>0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0.45" customHeight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6" customFormat="1" ht="144" customHeight="1" x14ac:dyDescent="0.3">
      <c r="A9" s="448">
        <v>1</v>
      </c>
      <c r="B9" s="452" t="s">
        <v>56</v>
      </c>
      <c r="C9" s="452" t="s">
        <v>192</v>
      </c>
      <c r="D9" s="452" t="s">
        <v>147</v>
      </c>
      <c r="E9" s="452" t="s">
        <v>193</v>
      </c>
      <c r="F9" s="452" t="s">
        <v>177</v>
      </c>
      <c r="G9" s="454">
        <v>1599844.19</v>
      </c>
      <c r="H9" s="456">
        <f>IF(AD9 = 1, G9 - Q9,0)</f>
        <v>0</v>
      </c>
      <c r="I9" s="454">
        <v>1</v>
      </c>
      <c r="J9" s="454"/>
      <c r="K9" s="452" t="s">
        <v>162</v>
      </c>
      <c r="L9" s="452" t="s">
        <v>194</v>
      </c>
      <c r="M9" s="452" t="s">
        <v>193</v>
      </c>
      <c r="N9" s="460">
        <v>45642</v>
      </c>
      <c r="O9" s="452" t="s">
        <v>178</v>
      </c>
      <c r="P9" s="452" t="s">
        <v>179</v>
      </c>
      <c r="Q9" s="454">
        <v>1599844.19</v>
      </c>
      <c r="R9" s="456">
        <f>IF(AD9 = 1, Q9 + SUM(Y9:Y23) - SUM(Z9:Z23) - SUM(V9:V23) - AB9,0)</f>
        <v>871957.41999999993</v>
      </c>
      <c r="S9" s="452"/>
      <c r="T9" s="227">
        <v>45681</v>
      </c>
      <c r="U9" s="452" t="s">
        <v>164</v>
      </c>
      <c r="V9" s="220">
        <v>28455</v>
      </c>
      <c r="W9" s="227">
        <v>45701</v>
      </c>
      <c r="X9" s="221"/>
      <c r="Y9" s="220"/>
      <c r="Z9" s="220"/>
      <c r="AA9" s="452"/>
      <c r="AB9" s="454"/>
      <c r="AC9" s="470"/>
      <c r="AD9" s="106">
        <v>1</v>
      </c>
    </row>
    <row r="10" spans="1:33" s="2" customFormat="1" x14ac:dyDescent="0.3">
      <c r="A10" s="466"/>
      <c r="B10" s="467"/>
      <c r="C10" s="467"/>
      <c r="D10" s="467"/>
      <c r="E10" s="467"/>
      <c r="F10" s="467"/>
      <c r="G10" s="468"/>
      <c r="H10" s="469"/>
      <c r="I10" s="468"/>
      <c r="J10" s="468"/>
      <c r="K10" s="467"/>
      <c r="L10" s="467"/>
      <c r="M10" s="467"/>
      <c r="N10" s="473"/>
      <c r="O10" s="467"/>
      <c r="P10" s="467"/>
      <c r="Q10" s="468"/>
      <c r="R10" s="469"/>
      <c r="S10" s="467"/>
      <c r="T10" s="228">
        <v>45695</v>
      </c>
      <c r="U10" s="467"/>
      <c r="V10" s="222">
        <v>39340</v>
      </c>
      <c r="W10" s="228">
        <v>45701</v>
      </c>
      <c r="X10" s="223"/>
      <c r="Y10" s="222"/>
      <c r="Z10" s="222"/>
      <c r="AA10" s="467"/>
      <c r="AB10" s="468"/>
      <c r="AC10" s="471"/>
      <c r="AD10" s="2">
        <v>1</v>
      </c>
    </row>
    <row r="11" spans="1:33" s="2" customFormat="1" x14ac:dyDescent="0.3">
      <c r="A11" s="466"/>
      <c r="B11" s="467"/>
      <c r="C11" s="467"/>
      <c r="D11" s="467"/>
      <c r="E11" s="467"/>
      <c r="F11" s="467"/>
      <c r="G11" s="468"/>
      <c r="H11" s="469"/>
      <c r="I11" s="468"/>
      <c r="J11" s="468"/>
      <c r="K11" s="467"/>
      <c r="L11" s="467"/>
      <c r="M11" s="467"/>
      <c r="N11" s="473"/>
      <c r="O11" s="467"/>
      <c r="P11" s="467"/>
      <c r="Q11" s="468"/>
      <c r="R11" s="469"/>
      <c r="S11" s="467"/>
      <c r="T11" s="228">
        <v>45695</v>
      </c>
      <c r="U11" s="467"/>
      <c r="V11" s="222">
        <v>122212.22</v>
      </c>
      <c r="W11" s="228">
        <v>45712</v>
      </c>
      <c r="X11" s="223"/>
      <c r="Y11" s="222"/>
      <c r="Z11" s="222"/>
      <c r="AA11" s="467"/>
      <c r="AB11" s="468"/>
      <c r="AC11" s="471"/>
      <c r="AD11" s="2">
        <v>1</v>
      </c>
    </row>
    <row r="12" spans="1:33" s="2" customFormat="1" x14ac:dyDescent="0.3">
      <c r="A12" s="466"/>
      <c r="B12" s="467"/>
      <c r="C12" s="467"/>
      <c r="D12" s="467"/>
      <c r="E12" s="467"/>
      <c r="F12" s="467"/>
      <c r="G12" s="468"/>
      <c r="H12" s="469"/>
      <c r="I12" s="468"/>
      <c r="J12" s="468"/>
      <c r="K12" s="467"/>
      <c r="L12" s="467"/>
      <c r="M12" s="467"/>
      <c r="N12" s="473"/>
      <c r="O12" s="467"/>
      <c r="P12" s="467"/>
      <c r="Q12" s="468"/>
      <c r="R12" s="469"/>
      <c r="S12" s="467"/>
      <c r="T12" s="228">
        <v>45315</v>
      </c>
      <c r="U12" s="467"/>
      <c r="V12" s="222">
        <v>88397.27</v>
      </c>
      <c r="W12" s="228">
        <v>45712</v>
      </c>
      <c r="X12" s="223"/>
      <c r="Y12" s="222"/>
      <c r="Z12" s="222"/>
      <c r="AA12" s="467"/>
      <c r="AB12" s="468"/>
      <c r="AC12" s="471"/>
      <c r="AD12" s="2">
        <v>1</v>
      </c>
    </row>
    <row r="13" spans="1:33" s="2" customFormat="1" x14ac:dyDescent="0.3">
      <c r="A13" s="466"/>
      <c r="B13" s="467"/>
      <c r="C13" s="467"/>
      <c r="D13" s="467"/>
      <c r="E13" s="467"/>
      <c r="F13" s="467"/>
      <c r="G13" s="468"/>
      <c r="H13" s="469"/>
      <c r="I13" s="468"/>
      <c r="J13" s="468"/>
      <c r="K13" s="467"/>
      <c r="L13" s="467"/>
      <c r="M13" s="467"/>
      <c r="N13" s="473"/>
      <c r="O13" s="467"/>
      <c r="P13" s="467"/>
      <c r="Q13" s="468"/>
      <c r="R13" s="469"/>
      <c r="S13" s="467"/>
      <c r="T13" s="228">
        <v>45695</v>
      </c>
      <c r="U13" s="467"/>
      <c r="V13" s="222">
        <v>7800.86</v>
      </c>
      <c r="W13" s="228">
        <v>45712</v>
      </c>
      <c r="X13" s="223"/>
      <c r="Y13" s="222"/>
      <c r="Z13" s="222"/>
      <c r="AA13" s="467"/>
      <c r="AB13" s="468"/>
      <c r="AC13" s="471"/>
      <c r="AD13" s="2">
        <v>1</v>
      </c>
    </row>
    <row r="14" spans="1:33" s="2" customFormat="1" x14ac:dyDescent="0.3">
      <c r="A14" s="466"/>
      <c r="B14" s="467"/>
      <c r="C14" s="467"/>
      <c r="D14" s="467"/>
      <c r="E14" s="467"/>
      <c r="F14" s="467"/>
      <c r="G14" s="468"/>
      <c r="H14" s="469"/>
      <c r="I14" s="468"/>
      <c r="J14" s="468"/>
      <c r="K14" s="467"/>
      <c r="L14" s="467"/>
      <c r="M14" s="467"/>
      <c r="N14" s="473"/>
      <c r="O14" s="467"/>
      <c r="P14" s="467"/>
      <c r="Q14" s="468"/>
      <c r="R14" s="469"/>
      <c r="S14" s="467"/>
      <c r="T14" s="228">
        <v>45681</v>
      </c>
      <c r="U14" s="467"/>
      <c r="V14" s="222">
        <v>5642.44</v>
      </c>
      <c r="W14" s="228">
        <v>45712</v>
      </c>
      <c r="X14" s="223"/>
      <c r="Y14" s="222"/>
      <c r="Z14" s="222"/>
      <c r="AA14" s="467"/>
      <c r="AB14" s="468"/>
      <c r="AC14" s="471"/>
      <c r="AD14" s="2">
        <v>1</v>
      </c>
    </row>
    <row r="15" spans="1:33" s="2" customFormat="1" x14ac:dyDescent="0.3">
      <c r="A15" s="466"/>
      <c r="B15" s="467"/>
      <c r="C15" s="467"/>
      <c r="D15" s="467"/>
      <c r="E15" s="467"/>
      <c r="F15" s="467"/>
      <c r="G15" s="468"/>
      <c r="H15" s="469"/>
      <c r="I15" s="468"/>
      <c r="J15" s="468"/>
      <c r="K15" s="467"/>
      <c r="L15" s="467"/>
      <c r="M15" s="467"/>
      <c r="N15" s="473"/>
      <c r="O15" s="467"/>
      <c r="P15" s="467"/>
      <c r="Q15" s="468"/>
      <c r="R15" s="469"/>
      <c r="S15" s="467"/>
      <c r="T15" s="228">
        <v>45708</v>
      </c>
      <c r="U15" s="467"/>
      <c r="V15" s="222">
        <v>6044.97</v>
      </c>
      <c r="W15" s="228">
        <v>45719</v>
      </c>
      <c r="X15" s="223"/>
      <c r="Y15" s="222"/>
      <c r="Z15" s="222"/>
      <c r="AA15" s="467"/>
      <c r="AB15" s="468"/>
      <c r="AC15" s="471"/>
      <c r="AD15" s="2">
        <v>1</v>
      </c>
    </row>
    <row r="16" spans="1:33" s="2" customFormat="1" x14ac:dyDescent="0.3">
      <c r="A16" s="466"/>
      <c r="B16" s="467"/>
      <c r="C16" s="467"/>
      <c r="D16" s="467"/>
      <c r="E16" s="467"/>
      <c r="F16" s="467"/>
      <c r="G16" s="468"/>
      <c r="H16" s="469"/>
      <c r="I16" s="468"/>
      <c r="J16" s="468"/>
      <c r="K16" s="467"/>
      <c r="L16" s="467"/>
      <c r="M16" s="467"/>
      <c r="N16" s="473"/>
      <c r="O16" s="467"/>
      <c r="P16" s="467"/>
      <c r="Q16" s="468"/>
      <c r="R16" s="469"/>
      <c r="S16" s="467"/>
      <c r="T16" s="228">
        <v>45708</v>
      </c>
      <c r="U16" s="467"/>
      <c r="V16" s="222">
        <v>30485</v>
      </c>
      <c r="W16" s="228">
        <v>45719</v>
      </c>
      <c r="X16" s="223"/>
      <c r="Y16" s="222"/>
      <c r="Z16" s="222"/>
      <c r="AA16" s="467"/>
      <c r="AB16" s="468"/>
      <c r="AC16" s="471"/>
      <c r="AD16" s="2">
        <v>1</v>
      </c>
    </row>
    <row r="17" spans="1:30" s="2" customFormat="1" x14ac:dyDescent="0.3">
      <c r="A17" s="466"/>
      <c r="B17" s="467"/>
      <c r="C17" s="467"/>
      <c r="D17" s="467"/>
      <c r="E17" s="467"/>
      <c r="F17" s="467"/>
      <c r="G17" s="468"/>
      <c r="H17" s="469"/>
      <c r="I17" s="468"/>
      <c r="J17" s="468"/>
      <c r="K17" s="467"/>
      <c r="L17" s="467"/>
      <c r="M17" s="467"/>
      <c r="N17" s="473"/>
      <c r="O17" s="467"/>
      <c r="P17" s="467"/>
      <c r="Q17" s="468"/>
      <c r="R17" s="469"/>
      <c r="S17" s="467"/>
      <c r="T17" s="228">
        <v>45708</v>
      </c>
      <c r="U17" s="467"/>
      <c r="V17" s="222">
        <v>94703.6</v>
      </c>
      <c r="W17" s="228">
        <v>45719</v>
      </c>
      <c r="X17" s="223"/>
      <c r="Y17" s="222"/>
      <c r="Z17" s="222"/>
      <c r="AA17" s="467"/>
      <c r="AB17" s="468"/>
      <c r="AC17" s="471"/>
      <c r="AD17" s="2">
        <v>1</v>
      </c>
    </row>
    <row r="18" spans="1:30" s="2" customFormat="1" x14ac:dyDescent="0.3">
      <c r="A18" s="466"/>
      <c r="B18" s="467"/>
      <c r="C18" s="467"/>
      <c r="D18" s="467"/>
      <c r="E18" s="467"/>
      <c r="F18" s="467"/>
      <c r="G18" s="468"/>
      <c r="H18" s="469"/>
      <c r="I18" s="468"/>
      <c r="J18" s="468"/>
      <c r="K18" s="467"/>
      <c r="L18" s="467"/>
      <c r="M18" s="467"/>
      <c r="N18" s="473"/>
      <c r="O18" s="467"/>
      <c r="P18" s="467"/>
      <c r="Q18" s="468"/>
      <c r="R18" s="469"/>
      <c r="S18" s="467"/>
      <c r="T18" s="228">
        <v>45722</v>
      </c>
      <c r="U18" s="467"/>
      <c r="V18" s="222">
        <v>102749.6</v>
      </c>
      <c r="W18" s="228">
        <v>45734</v>
      </c>
      <c r="X18" s="223"/>
      <c r="Y18" s="222"/>
      <c r="Z18" s="222"/>
      <c r="AA18" s="467"/>
      <c r="AB18" s="468"/>
      <c r="AC18" s="471"/>
      <c r="AD18" s="2">
        <v>1</v>
      </c>
    </row>
    <row r="19" spans="1:30" s="2" customFormat="1" x14ac:dyDescent="0.3">
      <c r="A19" s="466"/>
      <c r="B19" s="467"/>
      <c r="C19" s="467"/>
      <c r="D19" s="467"/>
      <c r="E19" s="467"/>
      <c r="F19" s="467"/>
      <c r="G19" s="468"/>
      <c r="H19" s="469"/>
      <c r="I19" s="468"/>
      <c r="J19" s="468"/>
      <c r="K19" s="467"/>
      <c r="L19" s="467"/>
      <c r="M19" s="467"/>
      <c r="N19" s="473"/>
      <c r="O19" s="467"/>
      <c r="P19" s="467"/>
      <c r="Q19" s="468"/>
      <c r="R19" s="469"/>
      <c r="S19" s="467"/>
      <c r="T19" s="228">
        <v>45722</v>
      </c>
      <c r="U19" s="467"/>
      <c r="V19" s="222">
        <v>33075</v>
      </c>
      <c r="W19" s="228">
        <v>45734</v>
      </c>
      <c r="X19" s="223"/>
      <c r="Y19" s="222"/>
      <c r="Z19" s="222"/>
      <c r="AA19" s="467"/>
      <c r="AB19" s="468"/>
      <c r="AC19" s="471"/>
      <c r="AD19" s="2">
        <v>1</v>
      </c>
    </row>
    <row r="20" spans="1:30" s="2" customFormat="1" x14ac:dyDescent="0.3">
      <c r="A20" s="466"/>
      <c r="B20" s="467"/>
      <c r="C20" s="467"/>
      <c r="D20" s="467"/>
      <c r="E20" s="467"/>
      <c r="F20" s="467"/>
      <c r="G20" s="468"/>
      <c r="H20" s="469"/>
      <c r="I20" s="468"/>
      <c r="J20" s="468"/>
      <c r="K20" s="467"/>
      <c r="L20" s="467"/>
      <c r="M20" s="467"/>
      <c r="N20" s="473"/>
      <c r="O20" s="467"/>
      <c r="P20" s="467"/>
      <c r="Q20" s="468"/>
      <c r="R20" s="469"/>
      <c r="S20" s="467"/>
      <c r="T20" s="228">
        <v>45722</v>
      </c>
      <c r="U20" s="467"/>
      <c r="V20" s="222">
        <v>6558.55</v>
      </c>
      <c r="W20" s="228">
        <v>45734</v>
      </c>
      <c r="X20" s="223"/>
      <c r="Y20" s="222"/>
      <c r="Z20" s="222"/>
      <c r="AA20" s="467"/>
      <c r="AB20" s="468"/>
      <c r="AC20" s="471"/>
      <c r="AD20" s="2">
        <v>1</v>
      </c>
    </row>
    <row r="21" spans="1:30" s="2" customFormat="1" x14ac:dyDescent="0.3">
      <c r="A21" s="466"/>
      <c r="B21" s="467"/>
      <c r="C21" s="467"/>
      <c r="D21" s="467"/>
      <c r="E21" s="467"/>
      <c r="F21" s="467"/>
      <c r="G21" s="468"/>
      <c r="H21" s="469"/>
      <c r="I21" s="468"/>
      <c r="J21" s="468"/>
      <c r="K21" s="467"/>
      <c r="L21" s="467"/>
      <c r="M21" s="467"/>
      <c r="N21" s="473"/>
      <c r="O21" s="467"/>
      <c r="P21" s="467"/>
      <c r="Q21" s="468"/>
      <c r="R21" s="469"/>
      <c r="S21" s="467"/>
      <c r="T21" s="228">
        <v>45737</v>
      </c>
      <c r="U21" s="467"/>
      <c r="V21" s="222">
        <v>117210.65</v>
      </c>
      <c r="W21" s="228">
        <v>45741</v>
      </c>
      <c r="X21" s="223"/>
      <c r="Y21" s="222"/>
      <c r="Z21" s="222"/>
      <c r="AA21" s="467"/>
      <c r="AB21" s="468"/>
      <c r="AC21" s="471"/>
      <c r="AD21" s="2">
        <v>1</v>
      </c>
    </row>
    <row r="22" spans="1:30" s="2" customFormat="1" x14ac:dyDescent="0.3">
      <c r="A22" s="466"/>
      <c r="B22" s="467"/>
      <c r="C22" s="467"/>
      <c r="D22" s="467"/>
      <c r="E22" s="467"/>
      <c r="F22" s="467"/>
      <c r="G22" s="468"/>
      <c r="H22" s="469"/>
      <c r="I22" s="468"/>
      <c r="J22" s="468"/>
      <c r="K22" s="467"/>
      <c r="L22" s="467"/>
      <c r="M22" s="467"/>
      <c r="N22" s="473"/>
      <c r="O22" s="467"/>
      <c r="P22" s="467"/>
      <c r="Q22" s="468"/>
      <c r="R22" s="469"/>
      <c r="S22" s="467"/>
      <c r="T22" s="228">
        <v>45737</v>
      </c>
      <c r="U22" s="467"/>
      <c r="V22" s="222">
        <v>7481.61</v>
      </c>
      <c r="W22" s="228">
        <v>45741</v>
      </c>
      <c r="X22" s="223"/>
      <c r="Y22" s="222"/>
      <c r="Z22" s="222"/>
      <c r="AA22" s="467"/>
      <c r="AB22" s="468"/>
      <c r="AC22" s="471"/>
      <c r="AD22" s="2">
        <v>1</v>
      </c>
    </row>
    <row r="23" spans="1:30" s="2" customFormat="1" x14ac:dyDescent="0.3">
      <c r="A23" s="449"/>
      <c r="B23" s="453"/>
      <c r="C23" s="453"/>
      <c r="D23" s="453"/>
      <c r="E23" s="453"/>
      <c r="F23" s="453"/>
      <c r="G23" s="455"/>
      <c r="H23" s="457"/>
      <c r="I23" s="455"/>
      <c r="J23" s="455"/>
      <c r="K23" s="453"/>
      <c r="L23" s="453"/>
      <c r="M23" s="453"/>
      <c r="N23" s="461"/>
      <c r="O23" s="453"/>
      <c r="P23" s="453"/>
      <c r="Q23" s="455"/>
      <c r="R23" s="457"/>
      <c r="S23" s="453"/>
      <c r="T23" s="228">
        <v>45737</v>
      </c>
      <c r="U23" s="453"/>
      <c r="V23" s="224">
        <v>37730</v>
      </c>
      <c r="W23" s="229">
        <v>45741</v>
      </c>
      <c r="X23" s="225"/>
      <c r="Y23" s="224"/>
      <c r="Z23" s="224"/>
      <c r="AA23" s="453"/>
      <c r="AB23" s="455"/>
      <c r="AC23" s="472"/>
      <c r="AD23" s="2">
        <v>1</v>
      </c>
    </row>
    <row r="24" spans="1:30" x14ac:dyDescent="0.3">
      <c r="A24" s="14"/>
      <c r="B24" s="14"/>
      <c r="C24" s="14"/>
      <c r="D24" s="14"/>
      <c r="E24" s="14"/>
      <c r="F24" s="14"/>
      <c r="G24" s="15"/>
      <c r="H24" s="16"/>
      <c r="I24" s="104"/>
      <c r="J24" s="104"/>
      <c r="K24" s="14"/>
      <c r="L24" s="14"/>
      <c r="M24" s="14"/>
      <c r="N24" s="29"/>
      <c r="O24" s="14"/>
      <c r="P24" s="14"/>
      <c r="Q24" s="15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8">
        <v>2</v>
      </c>
    </row>
  </sheetData>
  <sheetProtection password="EB34" sheet="1" objects="1" scenarios="1" formatCells="0" formatColumns="0" formatRows="0"/>
  <mergeCells count="27">
    <mergeCell ref="AB9:AB23"/>
    <mergeCell ref="C9:C23"/>
    <mergeCell ref="AC9:AC23"/>
    <mergeCell ref="D9:D23"/>
    <mergeCell ref="E9:E23"/>
    <mergeCell ref="F9:F23"/>
    <mergeCell ref="G9:G23"/>
    <mergeCell ref="H9:H23"/>
    <mergeCell ref="I9:I23"/>
    <mergeCell ref="J9:J23"/>
    <mergeCell ref="K9:K23"/>
    <mergeCell ref="L9:L23"/>
    <mergeCell ref="M9:M23"/>
    <mergeCell ref="N9:N23"/>
    <mergeCell ref="O9:O23"/>
    <mergeCell ref="P9:P23"/>
    <mergeCell ref="A9:A23"/>
    <mergeCell ref="U9:U23"/>
    <mergeCell ref="E2:F2"/>
    <mergeCell ref="O2:P2"/>
    <mergeCell ref="Y2:AA2"/>
    <mergeCell ref="T2:U2"/>
    <mergeCell ref="AA9:AA23"/>
    <mergeCell ref="B9:B23"/>
    <mergeCell ref="Q9:Q23"/>
    <mergeCell ref="R9:R23"/>
    <mergeCell ref="S9:S2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9" activePane="bottomLeft" state="frozen"/>
      <selection pane="bottomLeft" activeCell="C9" sqref="C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375" t="s">
        <v>139</v>
      </c>
      <c r="F2" s="376"/>
      <c r="G2" s="100">
        <f>SUM(G9:G9999)</f>
        <v>0</v>
      </c>
      <c r="H2" s="15"/>
      <c r="O2" s="375" t="s">
        <v>24</v>
      </c>
      <c r="P2" s="376"/>
      <c r="Q2" s="98">
        <f>SUM(Q9:Q9999)</f>
        <v>0</v>
      </c>
      <c r="T2" s="290" t="s">
        <v>137</v>
      </c>
      <c r="U2" s="292"/>
      <c r="V2" s="87">
        <f>SUM(V9:V9999)</f>
        <v>0</v>
      </c>
      <c r="X2" s="86"/>
      <c r="Y2" s="290" t="s">
        <v>45</v>
      </c>
      <c r="Z2" s="291"/>
      <c r="AA2" s="292"/>
      <c r="AB2" s="88">
        <f>SUM(AB9:AB9999)</f>
        <v>0</v>
      </c>
    </row>
    <row r="4" spans="1:33" ht="39.9" customHeight="1" x14ac:dyDescent="0.3">
      <c r="P4" s="474"/>
      <c r="Q4" s="474"/>
      <c r="R4" s="474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idden="1" x14ac:dyDescent="0.3">
      <c r="M9" s="3"/>
      <c r="AD9" s="8">
        <v>2</v>
      </c>
    </row>
    <row r="10" spans="1:33" hidden="1" x14ac:dyDescent="0.3">
      <c r="M10" s="3"/>
    </row>
    <row r="11" spans="1:33" hidden="1" x14ac:dyDescent="0.3">
      <c r="M11" s="3"/>
    </row>
    <row r="12" spans="1:33" hidden="1" x14ac:dyDescent="0.3">
      <c r="M12" s="3"/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17</v>
      </c>
      <c r="B1" s="65">
        <v>6</v>
      </c>
      <c r="C1" s="65">
        <v>9</v>
      </c>
      <c r="D1" s="477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478"/>
      <c r="E2" s="48"/>
      <c r="F2" s="80">
        <v>42</v>
      </c>
      <c r="G2" s="84">
        <v>43</v>
      </c>
      <c r="H2" s="83">
        <v>2</v>
      </c>
      <c r="I2" s="82">
        <v>1</v>
      </c>
      <c r="J2" s="81">
        <v>1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76</v>
      </c>
      <c r="B4" s="62">
        <v>25</v>
      </c>
      <c r="C4" s="62">
        <v>9</v>
      </c>
      <c r="D4" s="479" t="s">
        <v>102</v>
      </c>
      <c r="E4" s="48"/>
      <c r="F4" s="80">
        <v>43</v>
      </c>
      <c r="G4" s="84">
        <v>44</v>
      </c>
      <c r="H4" s="83">
        <v>3</v>
      </c>
      <c r="I4" s="82">
        <v>2</v>
      </c>
      <c r="J4" s="81">
        <v>2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480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12</v>
      </c>
      <c r="B7" s="64">
        <v>2</v>
      </c>
      <c r="C7" s="64">
        <v>9</v>
      </c>
      <c r="D7" s="481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482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10</v>
      </c>
      <c r="B10" s="60">
        <v>1</v>
      </c>
      <c r="C10" s="60">
        <v>9</v>
      </c>
      <c r="D10" s="483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484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23</v>
      </c>
      <c r="B13" s="58">
        <v>1</v>
      </c>
      <c r="C13" s="58">
        <v>9</v>
      </c>
      <c r="D13" s="485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486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8</v>
      </c>
      <c r="B16" s="56">
        <v>0</v>
      </c>
      <c r="C16" s="56">
        <v>9</v>
      </c>
      <c r="D16" s="475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476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2025-04-07T08:15:59Z</dcterms:modified>
</cp:coreProperties>
</file>