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Владелец\Downloads\"/>
    </mc:Choice>
  </mc:AlternateContent>
  <workbookProtection workbookPassword="EB34" lockStructure="1"/>
  <bookViews>
    <workbookView xWindow="0" yWindow="0" windowWidth="23040" windowHeight="8616" tabRatio="603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/>
</workbook>
</file>

<file path=xl/calcChain.xml><?xml version="1.0" encoding="utf-8"?>
<calcChain xmlns="http://schemas.openxmlformats.org/spreadsheetml/2006/main">
  <c r="I76" i="27" l="1"/>
  <c r="I75" i="27" l="1"/>
  <c r="I74" i="27"/>
  <c r="I73" i="27"/>
  <c r="H2" i="27"/>
  <c r="P2" i="27"/>
  <c r="V2" i="27"/>
  <c r="I191" i="31"/>
  <c r="I190" i="31"/>
  <c r="H2" i="31"/>
  <c r="P2" i="31"/>
  <c r="V2" i="31"/>
  <c r="I72" i="27"/>
  <c r="I71" i="27"/>
  <c r="I11" i="31"/>
  <c r="I9" i="27"/>
  <c r="I37" i="27"/>
  <c r="H15" i="17"/>
  <c r="R15" i="17"/>
  <c r="G2" i="17"/>
  <c r="Q2" i="17"/>
  <c r="V2" i="17"/>
  <c r="AB2" i="17"/>
  <c r="I17" i="27"/>
  <c r="I41" i="31"/>
  <c r="I120" i="31"/>
  <c r="I113" i="31"/>
  <c r="I19" i="31"/>
  <c r="I70" i="27" l="1"/>
  <c r="I62" i="31"/>
  <c r="I53" i="31"/>
  <c r="I64" i="27"/>
  <c r="I185" i="31"/>
  <c r="I62" i="27"/>
  <c r="I35" i="27"/>
  <c r="I60" i="31"/>
  <c r="H9" i="17"/>
  <c r="R9" i="17"/>
  <c r="I118" i="31"/>
  <c r="I189" i="31" l="1"/>
  <c r="I188" i="31"/>
  <c r="I69" i="27"/>
  <c r="G2" i="22" l="1"/>
  <c r="Q2" i="22"/>
  <c r="V2" i="22"/>
  <c r="AB2" i="22"/>
  <c r="I68" i="27" l="1"/>
  <c r="I67" i="27"/>
  <c r="I66" i="27"/>
  <c r="G2" i="19" l="1"/>
  <c r="N2" i="19"/>
  <c r="T2" i="19"/>
  <c r="I139" i="31" l="1"/>
  <c r="I143" i="31"/>
  <c r="I147" i="31"/>
  <c r="I163" i="31"/>
  <c r="H13" i="19"/>
  <c r="I48" i="27"/>
  <c r="I52" i="27"/>
  <c r="H17" i="17" l="1"/>
  <c r="R17" i="17"/>
  <c r="I61" i="27"/>
  <c r="H9" i="19" l="1"/>
  <c r="G2" i="20"/>
  <c r="Q2" i="20"/>
  <c r="V2" i="20"/>
  <c r="AB2" i="20"/>
  <c r="I60" i="27"/>
  <c r="I59" i="27" l="1"/>
  <c r="I58" i="27" l="1"/>
  <c r="I57" i="27" l="1"/>
  <c r="I56" i="27"/>
  <c r="I184" i="31"/>
  <c r="I183" i="31"/>
  <c r="I182" i="31"/>
  <c r="I100" i="31" l="1"/>
  <c r="I69" i="31"/>
  <c r="I94" i="31"/>
  <c r="I106" i="31"/>
  <c r="H9" i="22"/>
  <c r="R9" i="22"/>
  <c r="I55" i="27" l="1"/>
  <c r="I54" i="27"/>
  <c r="I47" i="27" l="1"/>
  <c r="I46" i="27"/>
  <c r="I138" i="31" l="1"/>
  <c r="I45" i="27" l="1"/>
  <c r="I137" i="31" l="1"/>
  <c r="I136" i="31"/>
  <c r="I44" i="27"/>
  <c r="I43" i="27"/>
  <c r="I135" i="31"/>
  <c r="I42" i="27"/>
  <c r="I41" i="27"/>
  <c r="I9" i="31" l="1"/>
  <c r="I34" i="27" l="1"/>
  <c r="I33" i="27"/>
  <c r="I32" i="27"/>
  <c r="I112" i="31" l="1"/>
  <c r="I31" i="27"/>
  <c r="I30" i="27"/>
  <c r="I29" i="27"/>
  <c r="I28" i="27"/>
  <c r="I27" i="27"/>
  <c r="I48" i="31"/>
  <c r="D13" i="21" l="1"/>
  <c r="R8" i="20" l="1"/>
  <c r="H8" i="20"/>
  <c r="R8" i="22"/>
  <c r="H8" i="22"/>
  <c r="I8" i="27" l="1"/>
  <c r="J9" i="21" l="1"/>
  <c r="J13" i="21"/>
  <c r="G13" i="21" l="1"/>
  <c r="J14" i="21"/>
  <c r="D14" i="21"/>
  <c r="D12" i="21"/>
  <c r="J12" i="21"/>
  <c r="D19" i="21"/>
  <c r="G14" i="21" l="1"/>
  <c r="M14" i="21" s="1"/>
  <c r="G12" i="21"/>
  <c r="H5" i="21" s="1"/>
  <c r="M13" i="21"/>
  <c r="J11" i="21"/>
  <c r="J10" i="21"/>
  <c r="J15" i="21" l="1"/>
  <c r="D10" i="21"/>
  <c r="R8" i="17" l="1"/>
  <c r="H8" i="17"/>
  <c r="D9" i="21" l="1"/>
  <c r="J17" i="21" l="1"/>
  <c r="M4" i="21"/>
  <c r="M5" i="21" s="1"/>
  <c r="G10" i="2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<sst xmlns="http://schemas.openxmlformats.org/spreadsheetml/2006/main" count="1104" uniqueCount="364">
  <si>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</si>
  <si>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</si>
  <si>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</si>
  <si>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</si>
  <si>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</si>
  <si>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</si>
  <si>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</si>
  <si>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</si>
  <si>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</si>
  <si>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</si>
  <si>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</si>
  <si>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</si>
  <si>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</si>
  <si>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</si>
  <si>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</si>
  <si>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</si>
  <si>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</si>
  <si>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</si>
  <si>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</si>
  <si>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</si>
  <si>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</si>
  <si>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</si>
  <si>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</si>
  <si>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</si>
  <si>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</si>
  <si>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</si>
  <si>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</si>
  <si>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</si>
  <si>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</si>
  <si>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</si>
  <si>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</si>
  <si>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</si>
  <si>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</si>
  <si>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</si>
  <si>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</si>
  <si>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</si>
  <si>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</si>
  <si>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</si>
  <si>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</si>
  <si>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</si>
  <si>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</si>
  <si>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</si>
  <si>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</si>
  <si>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</si>
  <si>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</si>
  <si>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</si>
  <si>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</si>
  <si>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</si>
  <si>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</si>
  <si>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</si>
  <si>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</si>
  <si>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</si>
  <si>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</si>
  <si>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</si>
  <si>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</si>
  <si>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</si>
  <si>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</si>
  <si>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</si>
  <si>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</si>
  <si>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</si>
  <si>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</si>
  <si>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</si>
  <si>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</si>
  <si>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</si>
  <si>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</si>
  <si>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</si>
  <si>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</si>
  <si>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</si>
  <si>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</si>
  <si>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</si>
  <si>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</si>
  <si>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</si>
  <si>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</si>
  <si>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</si>
  <si>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</si>
  <si>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</si>
  <si>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</si>
  <si>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</si>
  <si>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</si>
  <si>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</si>
  <si>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</si>
  <si>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</si>
  <si>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</si>
  <si>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</si>
  <si>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</si>
  <si>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</si>
  <si>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</si>
  <si>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</si>
  <si>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</si>
  <si>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</si>
  <si>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</si>
  <si>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</si>
  <si>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</si>
  <si>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</si>
  <si>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</si>
  <si>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</si>
  <si>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</si>
  <si>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</si>
  <si>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</si>
  <si>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</si>
  <si>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</si>
  <si>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</si>
  <si>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</si>
  <si>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</si>
  <si>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</si>
  <si>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</si>
  <si>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</si>
  <si>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</si>
  <si>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</si>
  <si>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</si>
  <si>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</si>
  <si>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</si>
  <si>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</si>
  <si>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</si>
  <si>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</si>
  <si>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</si>
  <si>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</si>
  <si>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</si>
  <si>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</si>
  <si>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</si>
  <si>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</si>
  <si>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</si>
  <si>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</si>
  <si>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</si>
  <si>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</si>
  <si>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</si>
  <si>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</si>
  <si>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</si>
  <si>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</si>
  <si>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</si>
  <si>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</si>
  <si>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</si>
  <si>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</si>
  <si>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</si>
  <si>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</si>
  <si>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</si>
  <si>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</si>
  <si>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</si>
  <si>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</si>
  <si>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</si>
  <si>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</si>
  <si>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</si>
  <si>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</si>
  <si>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</si>
  <si>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</si>
  <si>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</si>
  <si>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нет</t>
  </si>
  <si>
    <t>925 0000 0000000000 244</t>
  </si>
  <si>
    <t>Оказание услуг по обращению с твердыми коммунальными отходами</t>
  </si>
  <si>
    <t>ПАО "ТНС энерго Кубань"</t>
  </si>
  <si>
    <t>ООО "Коммунальник"</t>
  </si>
  <si>
    <t>до 25 числа</t>
  </si>
  <si>
    <t>1401</t>
  </si>
  <si>
    <t>Поставка тепловой энергии</t>
  </si>
  <si>
    <t>АО "АТЭК"</t>
  </si>
  <si>
    <t>Согласно графика</t>
  </si>
  <si>
    <t>ООО "Тимашевское ПРТ Райпо"</t>
  </si>
  <si>
    <t>ООО "КАНкорт"</t>
  </si>
  <si>
    <t>ИП Дудкин</t>
  </si>
  <si>
    <t>235305769122</t>
  </si>
  <si>
    <t>ИП Барма</t>
  </si>
  <si>
    <t>ПАО "Ростелеком"</t>
  </si>
  <si>
    <t>АО "Мусороуборочная компания"</t>
  </si>
  <si>
    <t>да</t>
  </si>
  <si>
    <t>Поставка бензина Аи-92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</si>
  <si>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</si>
  <si>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Холодное водоснабжение</t>
  </si>
  <si>
    <t>До 25 числа каждого месяца</t>
  </si>
  <si>
    <t>Электроэнергия</t>
  </si>
  <si>
    <t>30 % до 10 числа, 40 % до 25 числа</t>
  </si>
  <si>
    <t>До 10 числа месяца, следующего за отчетным</t>
  </si>
  <si>
    <t>925 0000 0000000000 247</t>
  </si>
  <si>
    <t>23070500203</t>
  </si>
  <si>
    <t>20456/ТМ</t>
  </si>
  <si>
    <t>Централизованная охрана объекта (ктс)</t>
  </si>
  <si>
    <t>2310163739</t>
  </si>
  <si>
    <t>ФГКУ "УВО ВНГ России по Краснодарскому краю" ОВО по Тимашевскому району</t>
  </si>
  <si>
    <t>925 0000 0000000000244</t>
  </si>
  <si>
    <t>925  0000 0000000000 244</t>
  </si>
  <si>
    <t>Оказание услуг связи</t>
  </si>
  <si>
    <t>7707049388</t>
  </si>
  <si>
    <t>поставка товара</t>
  </si>
  <si>
    <t>23 32353014097235301001 0016 001 5629 244</t>
  </si>
  <si>
    <t>0818300019923000370</t>
  </si>
  <si>
    <t>Оказание услуг питания детей</t>
  </si>
  <si>
    <t>32353014097 23 000006</t>
  </si>
  <si>
    <t>2353020735</t>
  </si>
  <si>
    <t>ООО "Тимашевское ПРТ райпо"</t>
  </si>
  <si>
    <t>23 32353014097235301001 0017 002 8010 244</t>
  </si>
  <si>
    <t>0818300019923000374</t>
  </si>
  <si>
    <t>Услуги частной охраны (Выставление поста охраны)</t>
  </si>
  <si>
    <t>3235301409723000007</t>
  </si>
  <si>
    <t>Общество с ограниченной ответственностью Частная охранная организация "Легион"</t>
  </si>
  <si>
    <t>ООО "КТК"</t>
  </si>
  <si>
    <t>В течение 10 рабочих дней с момента подписания Заказчиком и Подрядчиком акта приема-сдачи и предоставленного Подрядчиком документа на оплату</t>
  </si>
  <si>
    <t>ДГ24/68</t>
  </si>
  <si>
    <t>сопровождение системы ГЛОНАСС</t>
  </si>
  <si>
    <t>сервисное обслуживание теплосчетчиков</t>
  </si>
  <si>
    <t>то систем АПС</t>
  </si>
  <si>
    <t>ИП Даценко</t>
  </si>
  <si>
    <t>Стрелец-мониторинг</t>
  </si>
  <si>
    <t>оказание услуг по организации питания инвалидов, ОВЗ</t>
  </si>
  <si>
    <t>оказание услуг по организации питания 9/10,40</t>
  </si>
  <si>
    <t>33/24</t>
  </si>
  <si>
    <t>Предоставление охраняемой автостоянки, предрейсовому и послерейсовому то автотранспортв и медицинскому освидетельствованию водителей.</t>
  </si>
  <si>
    <t>оказание услуг по организации горячегопитания СВО</t>
  </si>
  <si>
    <t>23-01/2024-1</t>
  </si>
  <si>
    <t>ремонт автобуса</t>
  </si>
  <si>
    <t>235303782209</t>
  </si>
  <si>
    <t>ИП Пастухов</t>
  </si>
  <si>
    <t>шиномонтаж</t>
  </si>
  <si>
    <t>25-01/2024</t>
  </si>
  <si>
    <t>заправка картриджа и ремонт оргтехники</t>
  </si>
  <si>
    <t>231107998282</t>
  </si>
  <si>
    <t>23303348389</t>
  </si>
  <si>
    <t>ИП Тарануха</t>
  </si>
  <si>
    <t>Ремонт автобуса</t>
  </si>
  <si>
    <t>Образовательные услуги</t>
  </si>
  <si>
    <t>2310980339</t>
  </si>
  <si>
    <t>НЧОУ ДПО "Учебный центр "Персонал-Ресурс"</t>
  </si>
  <si>
    <t>925 0000 00000000000 244</t>
  </si>
  <si>
    <t>2024.065486</t>
  </si>
  <si>
    <t>ДГ24/238</t>
  </si>
  <si>
    <t>техническое сопровождение транспортного средства</t>
  </si>
  <si>
    <t>2369000660</t>
  </si>
  <si>
    <t>Поставка бензина АИ-92</t>
  </si>
  <si>
    <t>ООО "Альянс Розница"</t>
  </si>
  <si>
    <t>9/24</t>
  </si>
  <si>
    <t>дезинфекция</t>
  </si>
  <si>
    <t>ООО "Дезинфекция"</t>
  </si>
  <si>
    <t>80/24</t>
  </si>
  <si>
    <t>Услуги по идентификации АСН в ГАИС "ЭРА-ГЛОНАСС"</t>
  </si>
  <si>
    <t>7703383783</t>
  </si>
  <si>
    <t>АО "ГЛОНАСС"</t>
  </si>
  <si>
    <t>В течение7 рабочих дней с момента подписания Заказчиком и Подрадчиком акта приема-сдачи и предоставленного Подрядчиком документа на оплату</t>
  </si>
  <si>
    <t>2024.075027</t>
  </si>
  <si>
    <t>Панель светодиодная универсальная</t>
  </si>
  <si>
    <t>235002152355</t>
  </si>
  <si>
    <t>ИП Латышев</t>
  </si>
  <si>
    <t>А0099351</t>
  </si>
  <si>
    <t>Поставка учебной литературы</t>
  </si>
  <si>
    <t>АО "Издательство "Просвещение"</t>
  </si>
  <si>
    <t>до 30 июля 2024</t>
  </si>
  <si>
    <t>Поставка товара</t>
  </si>
  <si>
    <t>32</t>
  </si>
  <si>
    <t>2353018870</t>
  </si>
  <si>
    <t>оказание услуг по ремонту блока питания ПАК "Стрелец-Мониторинг"</t>
  </si>
  <si>
    <t>Дезинфекция лагерь</t>
  </si>
  <si>
    <t>6-24-2</t>
  </si>
  <si>
    <t>63-ЭО</t>
  </si>
  <si>
    <t>Отчетность по экологии</t>
  </si>
  <si>
    <t>235306110100</t>
  </si>
  <si>
    <t>ИП Казерова</t>
  </si>
  <si>
    <t>А0119133</t>
  </si>
  <si>
    <t>А0119134</t>
  </si>
  <si>
    <t>до 30.07.2024</t>
  </si>
  <si>
    <t>ООО "СпецБланк-Москва"</t>
  </si>
  <si>
    <t>7706526550</t>
  </si>
  <si>
    <t>аттестаты</t>
  </si>
  <si>
    <t>23-11470</t>
  </si>
  <si>
    <t>ИП Аполонов</t>
  </si>
  <si>
    <t>МБОУ СОШ № 6</t>
  </si>
  <si>
    <t>Поставка учебно-педагогической документации</t>
  </si>
  <si>
    <t>2310132554</t>
  </si>
  <si>
    <t>ООО "Краснодарский учколлектор"</t>
  </si>
  <si>
    <t>оказание услуг по организации питания учащихся</t>
  </si>
  <si>
    <t>К108911/24</t>
  </si>
  <si>
    <t>Предоставление права использования и абонентское обслуживание Системы "Контур.Экстерн"</t>
  </si>
  <si>
    <t>6663003127</t>
  </si>
  <si>
    <t>АО "ПФ "СКБ Контур"</t>
  </si>
  <si>
    <t>06/ПДУ/СМЭВ/5808</t>
  </si>
  <si>
    <t>Передача неисключительного права ПО</t>
  </si>
  <si>
    <t>2308065195</t>
  </si>
  <si>
    <t>ГУП КК "ЦИТ"</t>
  </si>
  <si>
    <t xml:space="preserve">30 % предоплата в течение 7 рабочих дней с даты выставления счета, 70 % в течение 7 рабочих дней с даты подписания акта. </t>
  </si>
  <si>
    <t>Предоставление сертификата</t>
  </si>
  <si>
    <t>06/СМЭВ/5807</t>
  </si>
  <si>
    <t>22-04/2024-1</t>
  </si>
  <si>
    <t>16-04/2024</t>
  </si>
  <si>
    <t>1 от 05.04.2024</t>
  </si>
  <si>
    <t>95</t>
  </si>
  <si>
    <t>Ванна моечная</t>
  </si>
  <si>
    <t>Бойлер накопительный электрический</t>
  </si>
  <si>
    <t>94</t>
  </si>
  <si>
    <t>140-ТО</t>
  </si>
  <si>
    <t>техосмотр автобуса</t>
  </si>
  <si>
    <t>06-05/2024-1</t>
  </si>
  <si>
    <t>5278/212</t>
  </si>
  <si>
    <t>подписка периодическрй печати</t>
  </si>
  <si>
    <t>7724490000</t>
  </si>
  <si>
    <t>АО "Почта России"</t>
  </si>
  <si>
    <t>20-05/2024</t>
  </si>
  <si>
    <t>АТ00-037556</t>
  </si>
  <si>
    <t>Право на использование программного обеспечения</t>
  </si>
  <si>
    <t>2311187588</t>
  </si>
  <si>
    <t>ООО "АйТи Мониторинг"</t>
  </si>
  <si>
    <t>02/05/24</t>
  </si>
  <si>
    <t>баннеры</t>
  </si>
  <si>
    <t>235303800426</t>
  </si>
  <si>
    <t>ИП Шашанков</t>
  </si>
  <si>
    <t>27-05/2024</t>
  </si>
  <si>
    <t>2024/6</t>
  </si>
  <si>
    <t>питание лагерь</t>
  </si>
  <si>
    <t>ИП Осипов</t>
  </si>
  <si>
    <t>621502803108</t>
  </si>
  <si>
    <t>хозтовары</t>
  </si>
  <si>
    <t>45</t>
  </si>
  <si>
    <t>1/2024/8</t>
  </si>
  <si>
    <t>экскурсии</t>
  </si>
  <si>
    <t>2310052884</t>
  </si>
  <si>
    <t>ГБУК КК "КГИАМЗ"</t>
  </si>
  <si>
    <t>0818300019924000189</t>
  </si>
  <si>
    <t>3235301409724000004</t>
  </si>
  <si>
    <t>24 32353014097235301001 0011 001 8010 244</t>
  </si>
  <si>
    <t>0818300019924000189-6</t>
  </si>
  <si>
    <t xml:space="preserve"> 0818300019924000193</t>
  </si>
  <si>
    <t xml:space="preserve"> 243235301409723530100100120015629244</t>
  </si>
  <si>
    <t xml:space="preserve"> Оказание услуги по организации питания учащихся муниципальных бюджетных общеобразовательных учреждений средних общеобразовательных школ муниципального образования Тимашевский район.</t>
  </si>
  <si>
    <t>32353014097 24 000005</t>
  </si>
  <si>
    <t>ОБЩЕСТВО С ОГРАНИЧЕННОЙ ОТВЕТСТВЕННОСТЬЮ "ТИМАШЕВСКОЕ ПРЕДПРИЯТИЕ РОЗНИЧНОЙ ТОРГОВЛИ РАЙПО"</t>
  </si>
  <si>
    <t xml:space="preserve"> 05.06.2024</t>
  </si>
  <si>
    <t>2024/1</t>
  </si>
  <si>
    <t>Установка перегородок</t>
  </si>
  <si>
    <t>2353021249</t>
  </si>
  <si>
    <t>ООО "Ремстройэнерго"</t>
  </si>
  <si>
    <t>2024/3</t>
  </si>
  <si>
    <t>Замена дверей на 2 этаже</t>
  </si>
  <si>
    <t>2024/2</t>
  </si>
  <si>
    <t>Замена дверей на 1 этаже</t>
  </si>
  <si>
    <t>Испытание и измерение электроустановок и электрооборудования</t>
  </si>
  <si>
    <t>034-ПН-24</t>
  </si>
  <si>
    <t>235302001163</t>
  </si>
  <si>
    <t>ИП Ромчук</t>
  </si>
  <si>
    <t>196</t>
  </si>
  <si>
    <t>199</t>
  </si>
  <si>
    <t>6-2024</t>
  </si>
  <si>
    <t>мебель</t>
  </si>
  <si>
    <t>235306300848</t>
  </si>
  <si>
    <t>Самозанятый гражданин Егорова В.П.</t>
  </si>
  <si>
    <t>Оказание экскурсионных услуг</t>
  </si>
  <si>
    <t>2353016418</t>
  </si>
  <si>
    <t>Приход храма</t>
  </si>
  <si>
    <t>545</t>
  </si>
  <si>
    <t>Лабораторные исследования воды</t>
  </si>
  <si>
    <t>2308105200</t>
  </si>
  <si>
    <t>Тимашевский филиал ФБУЗ "Центр гигиены и эпидемиологии в Краснодарском крае"</t>
  </si>
  <si>
    <t>бн</t>
  </si>
  <si>
    <t>Поверка приборов учета тепловой энергии</t>
  </si>
  <si>
    <t>6/2024</t>
  </si>
  <si>
    <t>то кнопки тревожной сигнализации</t>
  </si>
  <si>
    <t>Страхование гражданской ответственности</t>
  </si>
  <si>
    <t>7710026574</t>
  </si>
  <si>
    <t>Страховое акционерное общество "ВСК"</t>
  </si>
  <si>
    <t>самозанятый гражданин Егорова В.П.</t>
  </si>
  <si>
    <t>за мебель</t>
  </si>
  <si>
    <t>6/1-2024</t>
  </si>
  <si>
    <t>46</t>
  </si>
  <si>
    <t>за заборные секции</t>
  </si>
  <si>
    <t>234900743508</t>
  </si>
  <si>
    <t>ИП Трухляк</t>
  </si>
  <si>
    <t>30/Т</t>
  </si>
  <si>
    <t>За промывку и опрессовку системы центрального отопления</t>
  </si>
  <si>
    <t>2312314060</t>
  </si>
  <si>
    <t>ООО "Теплосервис"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</si>
</sst>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67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7" fontId="1" fillId="0" borderId="0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0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horizontal="center" vertical="center" wrapText="1"/>
    </xf>
    <xf numFmtId="0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>
      <alignment horizontal="center" vertical="center" wrapText="1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>
      <alignment horizontal="center" vertical="center" wrapText="1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>
      <alignment horizontal="center" vertical="center" wrapText="1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>
      <alignment horizontal="center" vertical="center" wrapText="1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51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6" fillId="18" borderId="51" xfId="0" applyFont="1" applyFill="1" applyBorder="1" applyAlignment="1" applyProtection="1">
      <alignment vertical="center"/>
      <protection locked="0"/>
    </xf>
    <xf numFmtId="0" fontId="17" fillId="18" borderId="51" xfId="0" applyFont="1" applyFill="1" applyBorder="1" applyAlignment="1" applyProtection="1">
      <alignment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>
      <alignment horizontal="center" vertical="center" wrapText="1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>
      <alignment horizontal="center" vertical="center" wrapText="1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>
      <alignment horizontal="center" vertical="center" wrapText="1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>
      <alignment horizontal="center" vertical="center" wrapText="1"/>
    </xf>
    <xf numFmtId="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0" fontId="1" fillId="18" borderId="65" xfId="0" applyFont="1" applyFill="1" applyBorder="1" applyAlignment="1" applyProtection="1">
      <alignment horizontal="center" vertical="center" wrapText="1"/>
      <protection locked="0"/>
    </xf>
    <xf numFmtId="0" fontId="1" fillId="18" borderId="66" xfId="0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>
      <alignment horizontal="center" vertical="center" wrapText="1"/>
    </xf>
    <xf numFmtId="4" fontId="1" fillId="18" borderId="65" xfId="0" applyNumberFormat="1" applyFont="1" applyFill="1" applyBorder="1" applyAlignment="1">
      <alignment horizontal="center" vertical="center" wrapText="1"/>
    </xf>
    <xf numFmtId="4" fontId="1" fillId="18" borderId="66" xfId="0" applyNumberFormat="1" applyFont="1" applyFill="1" applyBorder="1" applyAlignment="1">
      <alignment horizontal="center" vertical="center" wrapText="1"/>
    </xf>
    <xf numFmtId="49" fontId="1" fillId="18" borderId="64" xfId="0" applyNumberFormat="1" applyFont="1" applyFill="1" applyBorder="1" applyAlignment="1">
      <alignment horizontal="center" vertical="center" wrapText="1"/>
    </xf>
    <xf numFmtId="49" fontId="1" fillId="18" borderId="65" xfId="0" applyNumberFormat="1" applyFont="1" applyFill="1" applyBorder="1" applyAlignment="1">
      <alignment horizontal="center" vertical="center" wrapText="1"/>
    </xf>
    <xf numFmtId="49" fontId="1" fillId="18" borderId="66" xfId="0" applyNumberFormat="1" applyFont="1" applyFill="1" applyBorder="1" applyAlignment="1">
      <alignment horizontal="center" vertical="center" wrapText="1"/>
    </xf>
    <xf numFmtId="168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18" borderId="52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>
      <alignment horizontal="center" vertical="center" wrapText="1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>
      <alignment horizontal="center" vertical="center" wrapText="1"/>
    </xf>
    <xf numFmtId="4" fontId="1" fillId="18" borderId="54" xfId="0" applyNumberFormat="1" applyFont="1" applyFill="1" applyBorder="1" applyAlignment="1">
      <alignment horizontal="center" vertical="center" wrapText="1"/>
    </xf>
    <xf numFmtId="168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49" fontId="1" fillId="18" borderId="61" xfId="0" applyNumberFormat="1" applyFont="1" applyFill="1" applyBorder="1" applyAlignment="1">
      <alignment horizontal="center" vertical="center" wrapText="1"/>
    </xf>
    <xf numFmtId="49" fontId="1" fillId="18" borderId="63" xfId="0" applyNumberFormat="1" applyFont="1" applyFill="1" applyBorder="1" applyAlignment="1">
      <alignment horizontal="center" vertical="center" wrapText="1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>
      <alignment horizontal="center" vertical="center" wrapText="1"/>
    </xf>
    <xf numFmtId="4" fontId="1" fillId="18" borderId="63" xfId="0" applyNumberFormat="1" applyFont="1" applyFill="1" applyBorder="1" applyAlignment="1">
      <alignment horizontal="center" vertical="center" wrapText="1"/>
    </xf>
    <xf numFmtId="49" fontId="1" fillId="18" borderId="53" xfId="0" applyNumberFormat="1" applyFont="1" applyFill="1" applyBorder="1" applyAlignment="1">
      <alignment horizontal="center" vertical="center" wrapText="1"/>
    </xf>
    <xf numFmtId="167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>
      <alignment horizontal="center" vertical="center" wrapText="1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4" fontId="1" fillId="18" borderId="50" xfId="0" applyNumberFormat="1" applyFont="1" applyFill="1" applyBorder="1" applyAlignment="1">
      <alignment horizontal="center" vertical="center" wrapText="1"/>
    </xf>
    <xf numFmtId="1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>
      <alignment horizontal="center" vertical="center" wrapText="1"/>
    </xf>
    <xf numFmtId="49" fontId="1" fillId="18" borderId="58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>
      <alignment horizontal="center" vertical="center" wrapText="1"/>
    </xf>
    <xf numFmtId="4" fontId="1" fillId="18" borderId="59" xfId="0" applyNumberFormat="1" applyFont="1" applyFill="1" applyBorder="1" applyAlignment="1">
      <alignment horizontal="center" vertical="center" wrapText="1"/>
    </xf>
    <xf numFmtId="1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0" fontId="16" fillId="18" borderId="64" xfId="0" applyFont="1" applyFill="1" applyBorder="1" applyAlignment="1" applyProtection="1">
      <alignment vertical="center"/>
      <protection locked="0"/>
    </xf>
    <xf numFmtId="0" fontId="16" fillId="18" borderId="66" xfId="0" applyFont="1" applyFill="1" applyBorder="1" applyAlignment="1" applyProtection="1">
      <alignment vertical="center"/>
      <protection locked="0"/>
    </xf>
    <xf numFmtId="0" fontId="17" fillId="18" borderId="64" xfId="0" applyFont="1" applyFill="1" applyBorder="1" applyAlignment="1" applyProtection="1">
      <alignment vertical="center" wrapText="1"/>
      <protection locked="0"/>
    </xf>
    <xf numFmtId="0" fontId="17" fillId="18" borderId="66" xfId="0" applyFont="1" applyFill="1" applyBorder="1" applyAlignment="1" applyProtection="1">
      <alignment vertical="center" wrapText="1"/>
      <protection locked="0"/>
    </xf>
    <xf numFmtId="0" fontId="16" fillId="0" borderId="61" xfId="0" applyFont="1" applyBorder="1" applyAlignment="1" applyProtection="1">
      <alignment vertical="center"/>
      <protection locked="0"/>
    </xf>
    <xf numFmtId="0" fontId="16" fillId="0" borderId="62" xfId="0" applyFont="1" applyBorder="1" applyAlignment="1" applyProtection="1">
      <alignment vertical="center"/>
      <protection locked="0"/>
    </xf>
    <xf numFmtId="0" fontId="16" fillId="0" borderId="63" xfId="0" applyFont="1" applyBorder="1" applyAlignment="1" applyProtection="1">
      <alignment vertical="center"/>
      <protection locked="0"/>
    </xf>
    <xf numFmtId="0" fontId="17" fillId="4" borderId="61" xfId="0" applyFont="1" applyFill="1" applyBorder="1" applyAlignment="1" applyProtection="1">
      <alignment vertical="center" wrapText="1"/>
      <protection locked="0"/>
    </xf>
    <xf numFmtId="0" fontId="17" fillId="4" borderId="62" xfId="0" applyFont="1" applyFill="1" applyBorder="1" applyAlignment="1" applyProtection="1">
      <alignment vertical="center" wrapText="1"/>
      <protection locked="0"/>
    </xf>
    <xf numFmtId="0" fontId="17" fillId="4" borderId="63" xfId="0" applyFont="1" applyFill="1" applyBorder="1" applyAlignment="1" applyProtection="1">
      <alignment vertical="center" wrapText="1"/>
      <protection locked="0"/>
    </xf>
    <xf numFmtId="49" fontId="1" fillId="18" borderId="33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>
      <alignment horizontal="center" vertical="center" wrapText="1"/>
    </xf>
    <xf numFmtId="4" fontId="1" fillId="18" borderId="37" xfId="0" applyNumberFormat="1" applyFont="1" applyFill="1" applyBorder="1" applyAlignment="1">
      <alignment horizontal="center" vertical="center" wrapText="1"/>
    </xf>
    <xf numFmtId="4" fontId="1" fillId="18" borderId="40" xfId="0" applyNumberFormat="1" applyFont="1" applyFill="1" applyBorder="1" applyAlignment="1">
      <alignment horizontal="center" vertical="center" wrapText="1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/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/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/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3</xdr:row>
      <xdr:rowOff>504000</xdr:rowOff>
    </xdr:to>
    <xdr:sp macro="[0]!УдалитьСтрокуП4" textlink="">
      <xdr:nvSpPr>
        <xdr:cNvPr id="5" name="Скругленный прямоугольник 4"/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4</xdr:row>
      <xdr:rowOff>657</xdr:rowOff>
    </xdr:to>
    <xdr:sp macro="[0]!УдалитьСтрокуП5" textlink="">
      <xdr:nvSpPr>
        <xdr:cNvPr id="3" name="Скругленный прямоугольник 2"/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/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4</xdr:row>
      <xdr:rowOff>792</xdr:rowOff>
    </xdr:to>
    <xdr:sp macro="[0]!ДобавитьППАктП5" textlink="">
      <xdr:nvSpPr>
        <xdr:cNvPr id="5" name="Скругленный прямоугольник 4"/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/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/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/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/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/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/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/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/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/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/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/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/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abSelected="1" zoomScale="70" zoomScaleNormal="70" workbookViewId="0">
      <selection activeCell="H4" sqref="H4:J4"/>
    </sheetView>
  </sheetViews>
  <sheetFormatPr defaultColWidth="0" defaultRowHeight="14.4" x14ac:dyDescent="0.3"/>
  <cols>
    <col min="1" max="2" width="9.109375" style="9" customWidth="1"/>
    <col min="3" max="3" width="25.33203125" style="9" customWidth="1"/>
    <col min="4" max="5" width="9.109375" style="9" customWidth="1"/>
    <col min="6" max="6" width="11.6640625" style="9" customWidth="1"/>
    <col min="7" max="7" width="19" style="9" customWidth="1"/>
    <col min="8" max="8" width="6.5546875" style="9" customWidth="1"/>
    <col min="9" max="9" width="5.5546875" style="9" customWidth="1"/>
    <col min="10" max="10" width="15" style="9" customWidth="1"/>
    <col min="11" max="11" width="14.88671875" style="9" customWidth="1"/>
    <col min="12" max="12" width="21.33203125" style="9" customWidth="1"/>
    <col min="13" max="13" width="10.109375" style="9" customWidth="1"/>
    <col min="14" max="14" width="17.109375" style="9" bestFit="1" customWidth="1"/>
    <col min="15" max="22" width="9.109375" style="9" hidden="1" customWidth="1"/>
    <col min="23" max="23" width="30.6640625" style="9" hidden="1" customWidth="1"/>
    <col min="24" max="16384" width="9.109375" style="9" hidden="1"/>
  </cols>
  <sheetData>
    <row r="1" spans="1:14" ht="27" customHeight="1" thickBot="1" x14ac:dyDescent="0.35">
      <c r="A1" s="363" t="s">
        <v>141</v>
      </c>
      <c r="B1" s="364"/>
      <c r="C1" s="364"/>
      <c r="D1" s="364"/>
      <c r="E1" s="363" t="s">
        <v>261</v>
      </c>
      <c r="F1" s="364"/>
      <c r="G1" s="364"/>
      <c r="H1" s="364"/>
      <c r="I1" s="364"/>
      <c r="J1" s="364"/>
      <c r="K1" s="364"/>
      <c r="L1" s="364"/>
      <c r="M1" s="364"/>
      <c r="N1" s="365"/>
    </row>
    <row r="3" spans="1:14" ht="15" thickBot="1" x14ac:dyDescent="0.35">
      <c r="I3" s="21"/>
      <c r="J3" s="21"/>
      <c r="K3" s="21"/>
      <c r="L3" s="21"/>
      <c r="M3" s="21"/>
      <c r="N3" s="21"/>
    </row>
    <row r="4" spans="1:14" ht="32.25" customHeight="1" thickBot="1" x14ac:dyDescent="0.35">
      <c r="A4" s="399" t="s">
        <v>25</v>
      </c>
      <c r="B4" s="400"/>
      <c r="C4" s="4">
        <v>12611506.869999999</v>
      </c>
      <c r="D4" s="5"/>
      <c r="E4" s="401" t="s">
        <v>140</v>
      </c>
      <c r="F4" s="402"/>
      <c r="G4" s="403"/>
      <c r="H4" s="404">
        <v>2000000</v>
      </c>
      <c r="I4" s="405"/>
      <c r="J4" s="406"/>
      <c r="K4" s="22"/>
      <c r="L4" s="99" t="s">
        <v>55</v>
      </c>
      <c r="M4" s="401">
        <f>C4-D9-D10-D12-D14</f>
        <v>5995968.7199999997</v>
      </c>
      <c r="N4" s="403"/>
    </row>
    <row r="5" spans="1:14" ht="30.75" customHeight="1" thickBot="1" x14ac:dyDescent="0.35">
      <c r="A5" s="399" t="s">
        <v>26</v>
      </c>
      <c r="B5" s="400"/>
      <c r="C5" s="6">
        <f>C4-G15+J15</f>
        <v>3614050.7499999986</v>
      </c>
      <c r="D5" s="5"/>
      <c r="E5" s="401" t="s">
        <v>53</v>
      </c>
      <c r="F5" s="402"/>
      <c r="G5" s="403"/>
      <c r="H5" s="394">
        <f>H4-G12+J12</f>
        <v>558057.71</v>
      </c>
      <c r="I5" s="395"/>
      <c r="J5" s="396"/>
      <c r="K5" s="22"/>
      <c r="L5" s="99" t="s">
        <v>54</v>
      </c>
      <c r="M5" s="397">
        <f>M4-G13+J13</f>
        <v>3124584.1999999997</v>
      </c>
      <c r="N5" s="398"/>
    </row>
    <row r="6" spans="1:14" x14ac:dyDescent="0.3">
      <c r="C6" s="7"/>
      <c r="D6" s="10"/>
      <c r="E6" s="10"/>
      <c r="F6" s="10"/>
      <c r="G6" s="10"/>
      <c r="H6" s="10"/>
      <c r="I6" s="10"/>
      <c r="J6" s="10"/>
      <c r="K6" s="10"/>
      <c r="L6" s="10"/>
    </row>
    <row r="7" spans="1:14" ht="15" thickBot="1" x14ac:dyDescent="0.35"/>
    <row r="8" spans="1:14" ht="72" customHeight="1" thickBot="1" x14ac:dyDescent="0.35">
      <c r="A8" s="407" t="s">
        <v>27</v>
      </c>
      <c r="B8" s="408"/>
      <c r="C8" s="409"/>
      <c r="D8" s="407" t="s">
        <v>28</v>
      </c>
      <c r="E8" s="408"/>
      <c r="F8" s="409"/>
      <c r="G8" s="410" t="s">
        <v>29</v>
      </c>
      <c r="H8" s="411"/>
      <c r="I8" s="412"/>
      <c r="J8" s="410" t="s">
        <v>142</v>
      </c>
      <c r="K8" s="411"/>
      <c r="L8" s="412"/>
      <c r="M8" s="407" t="s">
        <v>30</v>
      </c>
      <c r="N8" s="409"/>
    </row>
    <row r="9" spans="1:14" ht="41.25" customHeight="1" thickBot="1" x14ac:dyDescent="0.35">
      <c r="A9" s="385" t="s">
        <v>31</v>
      </c>
      <c r="B9" s="386"/>
      <c r="C9" s="387"/>
      <c r="D9" s="384">
        <f>'Состоявшиеся аукционы'!G2</f>
        <v>2199589.56</v>
      </c>
      <c r="E9" s="384"/>
      <c r="F9" s="384"/>
      <c r="G9" s="384">
        <f>'Состоявшиеся аукционы'!Q2</f>
        <v>1722277.84</v>
      </c>
      <c r="H9" s="384"/>
      <c r="I9" s="384"/>
      <c r="J9" s="381">
        <f>'Состоявшиеся аукционы'!AB2</f>
        <v>0</v>
      </c>
      <c r="K9" s="382"/>
      <c r="L9" s="383"/>
      <c r="M9" s="384">
        <f t="shared" ref="M9:M15" si="0">D9-G9</f>
        <v>477311.72</v>
      </c>
      <c r="N9" s="384"/>
    </row>
    <row r="10" spans="1:14" ht="78.75" customHeight="1" thickBot="1" x14ac:dyDescent="0.35">
      <c r="A10" s="385" t="s">
        <v>49</v>
      </c>
      <c r="B10" s="386"/>
      <c r="C10" s="387"/>
      <c r="D10" s="384">
        <f>'Несостоявшиеся аукционы'!G2</f>
        <v>667469.44999999995</v>
      </c>
      <c r="E10" s="384"/>
      <c r="F10" s="384"/>
      <c r="G10" s="384">
        <f>'Несостоявшиеся аукционы'!Q2</f>
        <v>667469.44999999995</v>
      </c>
      <c r="H10" s="384"/>
      <c r="I10" s="384"/>
      <c r="J10" s="381">
        <f>'Несостоявшиеся аукционы'!AB2</f>
        <v>12154.83</v>
      </c>
      <c r="K10" s="382"/>
      <c r="L10" s="383"/>
      <c r="M10" s="384">
        <f t="shared" si="0"/>
        <v>0</v>
      </c>
      <c r="N10" s="384"/>
    </row>
    <row r="11" spans="1:14" ht="40.5" customHeight="1" thickBot="1" x14ac:dyDescent="0.35">
      <c r="A11" s="385" t="s">
        <v>83</v>
      </c>
      <c r="B11" s="386"/>
      <c r="C11" s="387"/>
      <c r="D11" s="381">
        <f>'Иные конкурентные закупки'!G2</f>
        <v>0</v>
      </c>
      <c r="E11" s="382"/>
      <c r="F11" s="383"/>
      <c r="G11" s="381">
        <f>'Иные конкурентные закупки'!Q2</f>
        <v>0</v>
      </c>
      <c r="H11" s="382"/>
      <c r="I11" s="383"/>
      <c r="J11" s="381">
        <f>'Иные конкурентные закупки'!AB2</f>
        <v>0</v>
      </c>
      <c r="K11" s="382"/>
      <c r="L11" s="383"/>
      <c r="M11" s="381">
        <f t="shared" si="0"/>
        <v>0</v>
      </c>
      <c r="N11" s="383"/>
    </row>
    <row r="12" spans="1:14" ht="54.75" customHeight="1" thickBot="1" x14ac:dyDescent="0.35">
      <c r="A12" s="388" t="s">
        <v>50</v>
      </c>
      <c r="B12" s="389"/>
      <c r="C12" s="390"/>
      <c r="D12" s="384">
        <f>'Ед. поставщик п.4 ч.1'!H2</f>
        <v>1441942.29</v>
      </c>
      <c r="E12" s="384"/>
      <c r="F12" s="384"/>
      <c r="G12" s="384">
        <f>D12</f>
        <v>1441942.29</v>
      </c>
      <c r="H12" s="384"/>
      <c r="I12" s="384"/>
      <c r="J12" s="381">
        <f>'Ед. поставщик п.4 ч.1'!V2</f>
        <v>0</v>
      </c>
      <c r="K12" s="382"/>
      <c r="L12" s="383"/>
      <c r="M12" s="384">
        <f t="shared" si="0"/>
        <v>0</v>
      </c>
      <c r="N12" s="384"/>
    </row>
    <row r="13" spans="1:14" ht="45.75" customHeight="1" thickBot="1" x14ac:dyDescent="0.35">
      <c r="A13" s="388" t="s">
        <v>51</v>
      </c>
      <c r="B13" s="389"/>
      <c r="C13" s="390"/>
      <c r="D13" s="384">
        <f>'Ед. поставщик п.5 ч.1'!H2</f>
        <v>3111442.72</v>
      </c>
      <c r="E13" s="384"/>
      <c r="F13" s="384"/>
      <c r="G13" s="384">
        <f>D13</f>
        <v>3111442.72</v>
      </c>
      <c r="H13" s="384"/>
      <c r="I13" s="384"/>
      <c r="J13" s="381">
        <f>'Ед. поставщик п.5 ч.1'!V2</f>
        <v>240058.2</v>
      </c>
      <c r="K13" s="382"/>
      <c r="L13" s="383"/>
      <c r="M13" s="384">
        <f t="shared" si="0"/>
        <v>0</v>
      </c>
      <c r="N13" s="384"/>
    </row>
    <row r="14" spans="1:14" ht="45.75" customHeight="1" thickBot="1" x14ac:dyDescent="0.35">
      <c r="A14" s="378" t="s">
        <v>52</v>
      </c>
      <c r="B14" s="379"/>
      <c r="C14" s="380"/>
      <c r="D14" s="381">
        <f>'Ед.поставщик за искл. п.4,5 ч.1'!G2</f>
        <v>2306536.8499999996</v>
      </c>
      <c r="E14" s="382"/>
      <c r="F14" s="383"/>
      <c r="G14" s="381">
        <f>D14</f>
        <v>2306536.8499999996</v>
      </c>
      <c r="H14" s="382"/>
      <c r="I14" s="383"/>
      <c r="J14" s="381">
        <f>'Ед.поставщик за искл. п.4,5 ч.1'!T2</f>
        <v>0</v>
      </c>
      <c r="K14" s="382"/>
      <c r="L14" s="383"/>
      <c r="M14" s="384">
        <f t="shared" si="0"/>
        <v>0</v>
      </c>
      <c r="N14" s="384"/>
    </row>
    <row r="15" spans="1:14" ht="21.6" thickBot="1" x14ac:dyDescent="0.35">
      <c r="A15" s="391" t="s">
        <v>143</v>
      </c>
      <c r="B15" s="392"/>
      <c r="C15" s="393"/>
      <c r="D15" s="384">
        <f>SUM(D9:D14)</f>
        <v>9726980.8699999992</v>
      </c>
      <c r="E15" s="384"/>
      <c r="F15" s="384"/>
      <c r="G15" s="381">
        <f>SUM(G9:G14)</f>
        <v>9249669.1500000004</v>
      </c>
      <c r="H15" s="382"/>
      <c r="I15" s="383"/>
      <c r="J15" s="381">
        <f>SUM(J9:J14)</f>
        <v>252213.03</v>
      </c>
      <c r="K15" s="382"/>
      <c r="L15" s="383"/>
      <c r="M15" s="384">
        <f t="shared" si="0"/>
        <v>477311.71999999881</v>
      </c>
      <c r="N15" s="384"/>
    </row>
    <row r="17" spans="1:12" x14ac:dyDescent="0.3">
      <c r="J17" s="146">
        <f>C4-D9-D10-D14</f>
        <v>7437911.0099999998</v>
      </c>
      <c r="K17" s="146"/>
      <c r="L17" s="146"/>
    </row>
    <row r="18" spans="1:12" ht="15" thickBot="1" x14ac:dyDescent="0.35">
      <c r="K18" s="146"/>
    </row>
    <row r="19" spans="1:12" ht="23.25" customHeight="1" x14ac:dyDescent="0.3">
      <c r="A19" s="366" t="s">
        <v>35</v>
      </c>
      <c r="B19" s="367"/>
      <c r="C19" s="368"/>
      <c r="D19" s="372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6707353.96</v>
      </c>
      <c r="E19" s="373"/>
      <c r="F19" s="373"/>
      <c r="G19" s="374"/>
      <c r="I19" s="20"/>
      <c r="J19" s="20"/>
      <c r="K19" s="20"/>
      <c r="L19" s="20"/>
    </row>
    <row r="20" spans="1:12" ht="24" customHeight="1" thickBot="1" x14ac:dyDescent="0.35">
      <c r="A20" s="369"/>
      <c r="B20" s="370"/>
      <c r="C20" s="371"/>
      <c r="D20" s="375"/>
      <c r="E20" s="376"/>
      <c r="F20" s="376"/>
      <c r="G20" s="377"/>
      <c r="I20" s="20"/>
      <c r="J20" s="20"/>
      <c r="K20" s="20"/>
      <c r="L20" s="20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82"/>
  <sheetViews>
    <sheetView showGridLines="0" topLeftCell="I1" zoomScale="80" zoomScaleNormal="80" workbookViewId="0">
      <pane ySplit="8" topLeftCell="A75" activePane="bottomLeft" state="frozen"/>
      <selection activeCell="I1" sqref="I1"/>
      <selection pane="bottomLeft" activeCell="P76" sqref="P76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7.33203125" style="12" customWidth="1"/>
    <col min="6" max="6" width="27.5546875" style="3" customWidth="1"/>
    <col min="7" max="7" width="49.109375" style="3" customWidth="1"/>
    <col min="8" max="8" width="26.88671875" style="11" customWidth="1"/>
    <col min="9" max="9" width="21.88671875" style="11" customWidth="1"/>
    <col min="10" max="10" width="33.5546875" style="3" customWidth="1"/>
    <col min="11" max="12" width="28.33203125" style="3" customWidth="1"/>
    <col min="13" max="13" width="34.88671875" style="3" customWidth="1"/>
    <col min="14" max="14" width="28.88671875" style="12" customWidth="1"/>
    <col min="15" max="15" width="28.88671875" style="3" customWidth="1"/>
    <col min="16" max="16" width="24" style="32" customWidth="1"/>
    <col min="17" max="17" width="24" style="12" bestFit="1" customWidth="1"/>
    <col min="18" max="18" width="23.44140625" style="8" customWidth="1"/>
    <col min="19" max="20" width="23.6640625" style="8" customWidth="1"/>
    <col min="21" max="21" width="24.5546875" style="12" customWidth="1"/>
    <col min="22" max="22" width="25.5546875" style="32" customWidth="1"/>
    <col min="23" max="23" width="17.664062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A2" s="86"/>
      <c r="B2" s="86"/>
      <c r="C2" s="86"/>
      <c r="D2" s="86"/>
      <c r="E2" s="86"/>
      <c r="F2" s="43"/>
      <c r="G2" s="101" t="s">
        <v>24</v>
      </c>
      <c r="H2" s="98">
        <f>SUM(H9:H10003)</f>
        <v>1441942.29</v>
      </c>
      <c r="K2" s="441"/>
      <c r="L2" s="441"/>
      <c r="M2" s="441"/>
      <c r="N2" s="437" t="s">
        <v>137</v>
      </c>
      <c r="O2" s="439"/>
      <c r="P2" s="87">
        <f>SUM(P9:P10003)</f>
        <v>1422466.52</v>
      </c>
      <c r="R2" s="86"/>
      <c r="S2" s="437" t="s">
        <v>45</v>
      </c>
      <c r="T2" s="438"/>
      <c r="U2" s="439"/>
      <c r="V2" s="88">
        <f>SUM(V9:V10003)</f>
        <v>0</v>
      </c>
    </row>
    <row r="3" spans="1:24" x14ac:dyDescent="0.3">
      <c r="A3" s="441"/>
      <c r="B3" s="441"/>
      <c r="C3" s="441"/>
      <c r="D3" s="441"/>
      <c r="E3" s="441"/>
      <c r="F3" s="45"/>
      <c r="N3" s="86"/>
    </row>
    <row r="4" spans="1:24" ht="39.9" customHeight="1" x14ac:dyDescent="0.3">
      <c r="A4" s="14"/>
      <c r="B4" s="14"/>
      <c r="C4" s="14"/>
      <c r="D4" s="14"/>
      <c r="E4" s="29"/>
      <c r="F4" s="14"/>
      <c r="J4" s="440"/>
      <c r="K4" s="440"/>
      <c r="M4" s="440"/>
      <c r="N4" s="440"/>
      <c r="O4" s="440"/>
      <c r="P4" s="440"/>
    </row>
    <row r="5" spans="1:24" x14ac:dyDescent="0.3">
      <c r="A5" s="14"/>
      <c r="B5" s="14"/>
      <c r="C5" s="14"/>
      <c r="D5" s="14"/>
      <c r="E5" s="29"/>
      <c r="F5" s="14"/>
      <c r="G5" s="14"/>
      <c r="H5" s="15"/>
    </row>
    <row r="6" spans="1:24" ht="91.2" customHeight="1" x14ac:dyDescent="0.3">
      <c r="A6" s="69" t="s">
        <v>8</v>
      </c>
      <c r="B6" s="69" t="s">
        <v>47</v>
      </c>
      <c r="C6" s="69" t="s">
        <v>145</v>
      </c>
      <c r="D6" s="69" t="s">
        <v>10</v>
      </c>
      <c r="E6" s="68" t="s">
        <v>1</v>
      </c>
      <c r="F6" s="69" t="s">
        <v>2</v>
      </c>
      <c r="G6" s="69" t="s">
        <v>3</v>
      </c>
      <c r="H6" s="71" t="s">
        <v>4</v>
      </c>
      <c r="I6" s="71" t="s">
        <v>22</v>
      </c>
      <c r="J6" s="69" t="s">
        <v>46</v>
      </c>
      <c r="K6" s="69" t="s">
        <v>5</v>
      </c>
      <c r="L6" s="69" t="s">
        <v>82</v>
      </c>
      <c r="M6" s="69" t="s">
        <v>44</v>
      </c>
      <c r="N6" s="68" t="s">
        <v>7</v>
      </c>
      <c r="O6" s="69" t="s">
        <v>6</v>
      </c>
      <c r="P6" s="70" t="s">
        <v>23</v>
      </c>
      <c r="Q6" s="68" t="s">
        <v>9</v>
      </c>
      <c r="R6" s="67" t="s">
        <v>40</v>
      </c>
      <c r="S6" s="67" t="s">
        <v>103</v>
      </c>
      <c r="T6" s="67" t="s">
        <v>104</v>
      </c>
      <c r="U6" s="68" t="s">
        <v>41</v>
      </c>
      <c r="V6" s="70" t="s">
        <v>105</v>
      </c>
      <c r="W6" s="67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9" customFormat="1" ht="90" hidden="1" x14ac:dyDescent="0.3">
      <c r="A8" s="72">
        <v>1</v>
      </c>
      <c r="B8" s="72" t="s">
        <v>56</v>
      </c>
      <c r="C8" s="72"/>
      <c r="D8" s="72" t="s">
        <v>58</v>
      </c>
      <c r="E8" s="73" t="s">
        <v>57</v>
      </c>
      <c r="F8" s="73" t="s">
        <v>107</v>
      </c>
      <c r="G8" s="72" t="s">
        <v>59</v>
      </c>
      <c r="H8" s="79">
        <v>20000</v>
      </c>
      <c r="I8" s="79">
        <f>H8-P8</f>
        <v>0</v>
      </c>
      <c r="J8" s="72" t="s">
        <v>60</v>
      </c>
      <c r="K8" s="72" t="s">
        <v>61</v>
      </c>
      <c r="L8" s="72"/>
      <c r="M8" s="72" t="s">
        <v>62</v>
      </c>
      <c r="N8" s="73">
        <v>43840</v>
      </c>
      <c r="O8" s="72" t="s">
        <v>144</v>
      </c>
      <c r="P8" s="103">
        <v>20000</v>
      </c>
      <c r="Q8" s="73">
        <v>43840</v>
      </c>
      <c r="R8" s="72"/>
      <c r="S8" s="79"/>
      <c r="T8" s="79"/>
      <c r="U8" s="73"/>
      <c r="V8" s="79"/>
      <c r="W8" s="75" t="s">
        <v>64</v>
      </c>
    </row>
    <row r="9" spans="1:24" s="106" customFormat="1" ht="144" customHeight="1" x14ac:dyDescent="0.3">
      <c r="A9" s="431">
        <v>1</v>
      </c>
      <c r="B9" s="416" t="s">
        <v>56</v>
      </c>
      <c r="C9" s="416" t="s">
        <v>146</v>
      </c>
      <c r="D9" s="416" t="s">
        <v>147</v>
      </c>
      <c r="E9" s="419">
        <v>34000962</v>
      </c>
      <c r="F9" s="422">
        <v>45289</v>
      </c>
      <c r="G9" s="416" t="s">
        <v>174</v>
      </c>
      <c r="H9" s="425">
        <v>27406.080000000002</v>
      </c>
      <c r="I9" s="428">
        <f>IF(X9 = 23, H9 + SUM(S9:S16) - SUM(T9:T16) - SUM(P9:P16) - V9,0)</f>
        <v>9135.36</v>
      </c>
      <c r="J9" s="416" t="s">
        <v>175</v>
      </c>
      <c r="K9" s="416" t="s">
        <v>176</v>
      </c>
      <c r="L9" s="416" t="s">
        <v>146</v>
      </c>
      <c r="M9" s="416"/>
      <c r="N9" s="357">
        <v>45322</v>
      </c>
      <c r="O9" s="422" t="s">
        <v>165</v>
      </c>
      <c r="P9" s="348">
        <v>2283.84</v>
      </c>
      <c r="Q9" s="349">
        <v>45336</v>
      </c>
      <c r="R9" s="350"/>
      <c r="S9" s="348"/>
      <c r="T9" s="348"/>
      <c r="U9" s="425"/>
      <c r="V9" s="434"/>
      <c r="W9" s="413"/>
      <c r="X9" s="106">
        <v>23</v>
      </c>
    </row>
    <row r="10" spans="1:24" s="150" customFormat="1" x14ac:dyDescent="0.3">
      <c r="A10" s="432"/>
      <c r="B10" s="417"/>
      <c r="C10" s="417"/>
      <c r="D10" s="417"/>
      <c r="E10" s="420"/>
      <c r="F10" s="423"/>
      <c r="G10" s="417"/>
      <c r="H10" s="426"/>
      <c r="I10" s="429"/>
      <c r="J10" s="417"/>
      <c r="K10" s="417"/>
      <c r="L10" s="417"/>
      <c r="M10" s="417"/>
      <c r="N10" s="358">
        <v>45351</v>
      </c>
      <c r="O10" s="423"/>
      <c r="P10" s="351">
        <v>2283.84</v>
      </c>
      <c r="Q10" s="352">
        <v>45351</v>
      </c>
      <c r="R10" s="353"/>
      <c r="S10" s="351"/>
      <c r="T10" s="351"/>
      <c r="U10" s="426"/>
      <c r="V10" s="435"/>
      <c r="W10" s="414"/>
      <c r="X10" s="150">
        <v>23</v>
      </c>
    </row>
    <row r="11" spans="1:24" s="204" customFormat="1" x14ac:dyDescent="0.3">
      <c r="A11" s="432"/>
      <c r="B11" s="417"/>
      <c r="C11" s="417"/>
      <c r="D11" s="417"/>
      <c r="E11" s="420"/>
      <c r="F11" s="423"/>
      <c r="G11" s="417"/>
      <c r="H11" s="426"/>
      <c r="I11" s="429"/>
      <c r="J11" s="417"/>
      <c r="K11" s="417"/>
      <c r="L11" s="417"/>
      <c r="M11" s="417"/>
      <c r="N11" s="358">
        <v>45382</v>
      </c>
      <c r="O11" s="423"/>
      <c r="P11" s="351">
        <v>2283.84</v>
      </c>
      <c r="Q11" s="352">
        <v>45383</v>
      </c>
      <c r="R11" s="353"/>
      <c r="S11" s="351"/>
      <c r="T11" s="351"/>
      <c r="U11" s="426"/>
      <c r="V11" s="435"/>
      <c r="W11" s="414"/>
      <c r="X11" s="204">
        <v>23</v>
      </c>
    </row>
    <row r="12" spans="1:24" s="267" customFormat="1" x14ac:dyDescent="0.3">
      <c r="A12" s="432"/>
      <c r="B12" s="417"/>
      <c r="C12" s="417"/>
      <c r="D12" s="417"/>
      <c r="E12" s="420"/>
      <c r="F12" s="423"/>
      <c r="G12" s="417"/>
      <c r="H12" s="426"/>
      <c r="I12" s="429"/>
      <c r="J12" s="417"/>
      <c r="K12" s="417"/>
      <c r="L12" s="417"/>
      <c r="M12" s="417"/>
      <c r="N12" s="358">
        <v>45409</v>
      </c>
      <c r="O12" s="423"/>
      <c r="P12" s="351">
        <v>2283.84</v>
      </c>
      <c r="Q12" s="352">
        <v>45419</v>
      </c>
      <c r="R12" s="353"/>
      <c r="S12" s="351"/>
      <c r="T12" s="351"/>
      <c r="U12" s="426"/>
      <c r="V12" s="435"/>
      <c r="W12" s="414"/>
      <c r="X12" s="267">
        <v>23</v>
      </c>
    </row>
    <row r="13" spans="1:24" s="267" customFormat="1" x14ac:dyDescent="0.3">
      <c r="A13" s="432"/>
      <c r="B13" s="417"/>
      <c r="C13" s="417"/>
      <c r="D13" s="417"/>
      <c r="E13" s="420"/>
      <c r="F13" s="423"/>
      <c r="G13" s="417"/>
      <c r="H13" s="426"/>
      <c r="I13" s="429"/>
      <c r="J13" s="417"/>
      <c r="K13" s="417"/>
      <c r="L13" s="417"/>
      <c r="M13" s="417"/>
      <c r="N13" s="358">
        <v>45443</v>
      </c>
      <c r="O13" s="423"/>
      <c r="P13" s="351">
        <v>2283.84</v>
      </c>
      <c r="Q13" s="352">
        <v>45443</v>
      </c>
      <c r="R13" s="353"/>
      <c r="S13" s="351"/>
      <c r="T13" s="351"/>
      <c r="U13" s="426"/>
      <c r="V13" s="435"/>
      <c r="W13" s="414"/>
      <c r="X13" s="267">
        <v>23</v>
      </c>
    </row>
    <row r="14" spans="1:24" s="318" customFormat="1" x14ac:dyDescent="0.3">
      <c r="A14" s="432"/>
      <c r="B14" s="417"/>
      <c r="C14" s="417"/>
      <c r="D14" s="417"/>
      <c r="E14" s="420"/>
      <c r="F14" s="423"/>
      <c r="G14" s="417"/>
      <c r="H14" s="426"/>
      <c r="I14" s="429"/>
      <c r="J14" s="417"/>
      <c r="K14" s="417"/>
      <c r="L14" s="417"/>
      <c r="M14" s="417"/>
      <c r="N14" s="358">
        <v>45471</v>
      </c>
      <c r="O14" s="423"/>
      <c r="P14" s="351">
        <v>2283.84</v>
      </c>
      <c r="Q14" s="352">
        <v>45475</v>
      </c>
      <c r="R14" s="353"/>
      <c r="S14" s="351"/>
      <c r="T14" s="351"/>
      <c r="U14" s="426"/>
      <c r="V14" s="435"/>
      <c r="W14" s="414"/>
      <c r="X14" s="318">
        <v>23</v>
      </c>
    </row>
    <row r="15" spans="1:24" s="318" customFormat="1" x14ac:dyDescent="0.3">
      <c r="A15" s="432"/>
      <c r="B15" s="417"/>
      <c r="C15" s="417"/>
      <c r="D15" s="417"/>
      <c r="E15" s="420"/>
      <c r="F15" s="423"/>
      <c r="G15" s="417"/>
      <c r="H15" s="426"/>
      <c r="I15" s="429"/>
      <c r="J15" s="417"/>
      <c r="K15" s="417"/>
      <c r="L15" s="417"/>
      <c r="M15" s="417"/>
      <c r="N15" s="358">
        <v>45504</v>
      </c>
      <c r="O15" s="423"/>
      <c r="P15" s="351">
        <v>2283.84</v>
      </c>
      <c r="Q15" s="352">
        <v>45504</v>
      </c>
      <c r="R15" s="353"/>
      <c r="S15" s="351"/>
      <c r="T15" s="351"/>
      <c r="U15" s="426"/>
      <c r="V15" s="435"/>
      <c r="W15" s="414"/>
      <c r="X15" s="318">
        <v>23</v>
      </c>
    </row>
    <row r="16" spans="1:24" s="324" customFormat="1" x14ac:dyDescent="0.3">
      <c r="A16" s="433"/>
      <c r="B16" s="418"/>
      <c r="C16" s="418"/>
      <c r="D16" s="418"/>
      <c r="E16" s="421"/>
      <c r="F16" s="424"/>
      <c r="G16" s="418"/>
      <c r="H16" s="427"/>
      <c r="I16" s="430"/>
      <c r="J16" s="418"/>
      <c r="K16" s="418"/>
      <c r="L16" s="418"/>
      <c r="M16" s="418"/>
      <c r="N16" s="359">
        <v>45534</v>
      </c>
      <c r="O16" s="424"/>
      <c r="P16" s="354">
        <v>2283.84</v>
      </c>
      <c r="Q16" s="355">
        <v>45534</v>
      </c>
      <c r="R16" s="356"/>
      <c r="S16" s="354"/>
      <c r="T16" s="354"/>
      <c r="U16" s="427"/>
      <c r="V16" s="436"/>
      <c r="W16" s="415"/>
      <c r="X16" s="324">
        <v>23</v>
      </c>
    </row>
    <row r="17" spans="1:24" s="106" customFormat="1" ht="144" customHeight="1" x14ac:dyDescent="0.3">
      <c r="A17" s="431">
        <v>2</v>
      </c>
      <c r="B17" s="416" t="s">
        <v>56</v>
      </c>
      <c r="C17" s="416" t="s">
        <v>146</v>
      </c>
      <c r="D17" s="416" t="s">
        <v>147</v>
      </c>
      <c r="E17" s="419">
        <v>166</v>
      </c>
      <c r="F17" s="422">
        <v>45279</v>
      </c>
      <c r="G17" s="416" t="s">
        <v>179</v>
      </c>
      <c r="H17" s="425">
        <v>15632.19</v>
      </c>
      <c r="I17" s="428">
        <f>IF(X17 = 24, H17 + SUM(S17:S26) - SUM(T17:T26) - SUM(P17:P26) - V17,0)</f>
        <v>6908.41</v>
      </c>
      <c r="J17" s="416" t="s">
        <v>180</v>
      </c>
      <c r="K17" s="416" t="s">
        <v>161</v>
      </c>
      <c r="L17" s="416" t="s">
        <v>146</v>
      </c>
      <c r="M17" s="416"/>
      <c r="N17" s="357">
        <v>45322</v>
      </c>
      <c r="O17" s="422" t="s">
        <v>165</v>
      </c>
      <c r="P17" s="348">
        <v>1075.75</v>
      </c>
      <c r="Q17" s="349">
        <v>45330</v>
      </c>
      <c r="R17" s="350"/>
      <c r="S17" s="348"/>
      <c r="T17" s="348"/>
      <c r="U17" s="425"/>
      <c r="V17" s="434"/>
      <c r="W17" s="413"/>
      <c r="X17" s="106">
        <v>24</v>
      </c>
    </row>
    <row r="18" spans="1:24" s="179" customFormat="1" x14ac:dyDescent="0.3">
      <c r="A18" s="432"/>
      <c r="B18" s="417"/>
      <c r="C18" s="417"/>
      <c r="D18" s="417"/>
      <c r="E18" s="420"/>
      <c r="F18" s="423"/>
      <c r="G18" s="417"/>
      <c r="H18" s="426"/>
      <c r="I18" s="429"/>
      <c r="J18" s="417"/>
      <c r="K18" s="417"/>
      <c r="L18" s="417"/>
      <c r="M18" s="417"/>
      <c r="N18" s="358">
        <v>45351</v>
      </c>
      <c r="O18" s="423"/>
      <c r="P18" s="351">
        <v>1175.5</v>
      </c>
      <c r="Q18" s="352">
        <v>45363</v>
      </c>
      <c r="R18" s="353"/>
      <c r="S18" s="351"/>
      <c r="T18" s="351"/>
      <c r="U18" s="426"/>
      <c r="V18" s="435"/>
      <c r="W18" s="414"/>
      <c r="X18" s="179">
        <v>24</v>
      </c>
    </row>
    <row r="19" spans="1:24" s="179" customFormat="1" x14ac:dyDescent="0.3">
      <c r="A19" s="432"/>
      <c r="B19" s="417"/>
      <c r="C19" s="417"/>
      <c r="D19" s="417"/>
      <c r="E19" s="420"/>
      <c r="F19" s="423"/>
      <c r="G19" s="417"/>
      <c r="H19" s="426"/>
      <c r="I19" s="429"/>
      <c r="J19" s="417"/>
      <c r="K19" s="417"/>
      <c r="L19" s="417"/>
      <c r="M19" s="417"/>
      <c r="N19" s="358">
        <v>45351</v>
      </c>
      <c r="O19" s="423"/>
      <c r="P19" s="351">
        <v>87</v>
      </c>
      <c r="Q19" s="352">
        <v>45363</v>
      </c>
      <c r="R19" s="353"/>
      <c r="S19" s="351"/>
      <c r="T19" s="351"/>
      <c r="U19" s="426"/>
      <c r="V19" s="435"/>
      <c r="W19" s="414"/>
      <c r="X19" s="179">
        <v>24</v>
      </c>
    </row>
    <row r="20" spans="1:24" s="204" customFormat="1" x14ac:dyDescent="0.3">
      <c r="A20" s="432"/>
      <c r="B20" s="417"/>
      <c r="C20" s="417"/>
      <c r="D20" s="417"/>
      <c r="E20" s="420"/>
      <c r="F20" s="423"/>
      <c r="G20" s="417"/>
      <c r="H20" s="426"/>
      <c r="I20" s="429"/>
      <c r="J20" s="417"/>
      <c r="K20" s="417"/>
      <c r="L20" s="417"/>
      <c r="M20" s="417"/>
      <c r="N20" s="358">
        <v>45382</v>
      </c>
      <c r="O20" s="423"/>
      <c r="P20" s="351">
        <v>1277.6600000000001</v>
      </c>
      <c r="Q20" s="352">
        <v>45386</v>
      </c>
      <c r="R20" s="353"/>
      <c r="S20" s="351"/>
      <c r="T20" s="351"/>
      <c r="U20" s="426"/>
      <c r="V20" s="435"/>
      <c r="W20" s="414"/>
      <c r="X20" s="204">
        <v>24</v>
      </c>
    </row>
    <row r="21" spans="1:24" s="267" customFormat="1" x14ac:dyDescent="0.3">
      <c r="A21" s="432"/>
      <c r="B21" s="417"/>
      <c r="C21" s="417"/>
      <c r="D21" s="417"/>
      <c r="E21" s="420"/>
      <c r="F21" s="423"/>
      <c r="G21" s="417"/>
      <c r="H21" s="426"/>
      <c r="I21" s="429"/>
      <c r="J21" s="417"/>
      <c r="K21" s="417"/>
      <c r="L21" s="417"/>
      <c r="M21" s="417"/>
      <c r="N21" s="358">
        <v>45412</v>
      </c>
      <c r="O21" s="423"/>
      <c r="P21" s="351">
        <v>1149.5899999999999</v>
      </c>
      <c r="Q21" s="352">
        <v>45419</v>
      </c>
      <c r="R21" s="353"/>
      <c r="S21" s="351"/>
      <c r="T21" s="351"/>
      <c r="U21" s="426"/>
      <c r="V21" s="435"/>
      <c r="W21" s="414"/>
      <c r="X21" s="267">
        <v>24</v>
      </c>
    </row>
    <row r="22" spans="1:24" s="267" customFormat="1" x14ac:dyDescent="0.3">
      <c r="A22" s="432"/>
      <c r="B22" s="417"/>
      <c r="C22" s="417"/>
      <c r="D22" s="417"/>
      <c r="E22" s="420"/>
      <c r="F22" s="423"/>
      <c r="G22" s="417"/>
      <c r="H22" s="426"/>
      <c r="I22" s="429"/>
      <c r="J22" s="417"/>
      <c r="K22" s="417"/>
      <c r="L22" s="417"/>
      <c r="M22" s="417"/>
      <c r="N22" s="358">
        <v>45412</v>
      </c>
      <c r="O22" s="423"/>
      <c r="P22" s="351">
        <v>31.68</v>
      </c>
      <c r="Q22" s="352">
        <v>45419</v>
      </c>
      <c r="R22" s="353"/>
      <c r="S22" s="351"/>
      <c r="T22" s="351"/>
      <c r="U22" s="426"/>
      <c r="V22" s="435"/>
      <c r="W22" s="414"/>
      <c r="X22" s="267">
        <v>24</v>
      </c>
    </row>
    <row r="23" spans="1:24" s="280" customFormat="1" x14ac:dyDescent="0.3">
      <c r="A23" s="432"/>
      <c r="B23" s="417"/>
      <c r="C23" s="417"/>
      <c r="D23" s="417"/>
      <c r="E23" s="420"/>
      <c r="F23" s="423"/>
      <c r="G23" s="417"/>
      <c r="H23" s="426"/>
      <c r="I23" s="429"/>
      <c r="J23" s="417"/>
      <c r="K23" s="417"/>
      <c r="L23" s="417"/>
      <c r="M23" s="417"/>
      <c r="N23" s="358">
        <v>45443</v>
      </c>
      <c r="O23" s="423"/>
      <c r="P23" s="351">
        <v>1192.24</v>
      </c>
      <c r="Q23" s="352">
        <v>45454</v>
      </c>
      <c r="R23" s="353"/>
      <c r="S23" s="351"/>
      <c r="T23" s="351"/>
      <c r="U23" s="426"/>
      <c r="V23" s="435"/>
      <c r="W23" s="414"/>
      <c r="X23" s="280">
        <v>24</v>
      </c>
    </row>
    <row r="24" spans="1:24" s="280" customFormat="1" x14ac:dyDescent="0.3">
      <c r="A24" s="432"/>
      <c r="B24" s="417"/>
      <c r="C24" s="417"/>
      <c r="D24" s="417"/>
      <c r="E24" s="420"/>
      <c r="F24" s="423"/>
      <c r="G24" s="417"/>
      <c r="H24" s="426"/>
      <c r="I24" s="429"/>
      <c r="J24" s="417"/>
      <c r="K24" s="417"/>
      <c r="L24" s="417"/>
      <c r="M24" s="417"/>
      <c r="N24" s="358">
        <v>45473</v>
      </c>
      <c r="O24" s="423"/>
      <c r="P24" s="351">
        <v>1352.94</v>
      </c>
      <c r="Q24" s="352">
        <v>45481</v>
      </c>
      <c r="R24" s="353"/>
      <c r="S24" s="351"/>
      <c r="T24" s="351"/>
      <c r="U24" s="426"/>
      <c r="V24" s="435"/>
      <c r="W24" s="414"/>
      <c r="X24" s="280">
        <v>24</v>
      </c>
    </row>
    <row r="25" spans="1:24" s="324" customFormat="1" x14ac:dyDescent="0.3">
      <c r="A25" s="432"/>
      <c r="B25" s="417"/>
      <c r="C25" s="417"/>
      <c r="D25" s="417"/>
      <c r="E25" s="420"/>
      <c r="F25" s="423"/>
      <c r="G25" s="417"/>
      <c r="H25" s="426"/>
      <c r="I25" s="429"/>
      <c r="J25" s="417"/>
      <c r="K25" s="417"/>
      <c r="L25" s="417"/>
      <c r="M25" s="417"/>
      <c r="N25" s="358">
        <v>45504</v>
      </c>
      <c r="O25" s="423"/>
      <c r="P25" s="351">
        <v>143.93</v>
      </c>
      <c r="Q25" s="352">
        <v>45512</v>
      </c>
      <c r="R25" s="353"/>
      <c r="S25" s="351"/>
      <c r="T25" s="351"/>
      <c r="U25" s="426"/>
      <c r="V25" s="435"/>
      <c r="W25" s="414"/>
      <c r="X25" s="324">
        <v>24</v>
      </c>
    </row>
    <row r="26" spans="1:24" s="324" customFormat="1" x14ac:dyDescent="0.3">
      <c r="A26" s="433"/>
      <c r="B26" s="418"/>
      <c r="C26" s="418"/>
      <c r="D26" s="418"/>
      <c r="E26" s="421"/>
      <c r="F26" s="424"/>
      <c r="G26" s="418"/>
      <c r="H26" s="427"/>
      <c r="I26" s="430"/>
      <c r="J26" s="418"/>
      <c r="K26" s="418"/>
      <c r="L26" s="418"/>
      <c r="M26" s="418"/>
      <c r="N26" s="359">
        <v>45504</v>
      </c>
      <c r="O26" s="424"/>
      <c r="P26" s="354">
        <v>1237.49</v>
      </c>
      <c r="Q26" s="355">
        <v>45512</v>
      </c>
      <c r="R26" s="356"/>
      <c r="S26" s="354"/>
      <c r="T26" s="354"/>
      <c r="U26" s="427"/>
      <c r="V26" s="436"/>
      <c r="W26" s="415"/>
      <c r="X26" s="324">
        <v>24</v>
      </c>
    </row>
    <row r="27" spans="1:24" s="106" customFormat="1" ht="144" x14ac:dyDescent="0.3">
      <c r="A27" s="110">
        <v>3</v>
      </c>
      <c r="B27" s="111" t="s">
        <v>56</v>
      </c>
      <c r="C27" s="111" t="s">
        <v>146</v>
      </c>
      <c r="D27" s="111" t="s">
        <v>147</v>
      </c>
      <c r="E27" s="112" t="s">
        <v>206</v>
      </c>
      <c r="F27" s="119">
        <v>45314</v>
      </c>
      <c r="G27" s="111" t="s">
        <v>207</v>
      </c>
      <c r="H27" s="113">
        <v>8200</v>
      </c>
      <c r="I27" s="114">
        <f>IF(X27 = 26, H27 + SUM(S27:S27) - SUM(T27:T27) - SUM(P27:P27) - V27,0)</f>
        <v>0</v>
      </c>
      <c r="J27" s="111" t="s">
        <v>208</v>
      </c>
      <c r="K27" s="111" t="s">
        <v>209</v>
      </c>
      <c r="L27" s="111" t="s">
        <v>146</v>
      </c>
      <c r="M27" s="111"/>
      <c r="N27" s="119"/>
      <c r="O27" s="119" t="s">
        <v>194</v>
      </c>
      <c r="P27" s="113">
        <v>8200</v>
      </c>
      <c r="Q27" s="112">
        <v>45315</v>
      </c>
      <c r="R27" s="111"/>
      <c r="S27" s="113"/>
      <c r="T27" s="113"/>
      <c r="U27" s="113"/>
      <c r="V27" s="128"/>
      <c r="W27" s="118"/>
      <c r="X27" s="106">
        <v>26</v>
      </c>
    </row>
    <row r="28" spans="1:24" s="106" customFormat="1" ht="18" customHeight="1" x14ac:dyDescent="0.3">
      <c r="A28" s="135">
        <v>4</v>
      </c>
      <c r="B28" s="130" t="s">
        <v>56</v>
      </c>
      <c r="C28" s="130" t="s">
        <v>146</v>
      </c>
      <c r="D28" s="130" t="s">
        <v>147</v>
      </c>
      <c r="E28" s="145">
        <v>42</v>
      </c>
      <c r="F28" s="131">
        <v>45316</v>
      </c>
      <c r="G28" s="130" t="s">
        <v>210</v>
      </c>
      <c r="H28" s="132">
        <v>1400</v>
      </c>
      <c r="I28" s="136">
        <f>IF(X28 = 29, H28 + SUM(S28:S28) - SUM(T28:T28) - SUM(P28:P28) - V28,0)</f>
        <v>0</v>
      </c>
      <c r="J28" s="130" t="s">
        <v>159</v>
      </c>
      <c r="K28" s="130" t="s">
        <v>160</v>
      </c>
      <c r="L28" s="130" t="s">
        <v>146</v>
      </c>
      <c r="M28" s="130"/>
      <c r="N28" s="120"/>
      <c r="O28" s="131" t="s">
        <v>194</v>
      </c>
      <c r="P28" s="121">
        <v>1400</v>
      </c>
      <c r="Q28" s="122">
        <v>45322</v>
      </c>
      <c r="R28" s="123"/>
      <c r="S28" s="121"/>
      <c r="T28" s="121"/>
      <c r="U28" s="132"/>
      <c r="V28" s="133"/>
      <c r="W28" s="134"/>
      <c r="X28" s="106">
        <v>29</v>
      </c>
    </row>
    <row r="29" spans="1:24" s="106" customFormat="1" ht="144" x14ac:dyDescent="0.3">
      <c r="A29" s="110">
        <v>5</v>
      </c>
      <c r="B29" s="111" t="s">
        <v>56</v>
      </c>
      <c r="C29" s="111" t="s">
        <v>146</v>
      </c>
      <c r="D29" s="111" t="s">
        <v>147</v>
      </c>
      <c r="E29" s="129">
        <v>43</v>
      </c>
      <c r="F29" s="119">
        <v>45316</v>
      </c>
      <c r="G29" s="130" t="s">
        <v>210</v>
      </c>
      <c r="H29" s="132">
        <v>1400</v>
      </c>
      <c r="I29" s="114">
        <f>IF(X29 = 30, H29 + SUM(S29:S29) - SUM(T29:T29) - SUM(P29:P29) - V29,0)</f>
        <v>0</v>
      </c>
      <c r="J29" s="130" t="s">
        <v>159</v>
      </c>
      <c r="K29" s="130" t="s">
        <v>160</v>
      </c>
      <c r="L29" s="111" t="s">
        <v>146</v>
      </c>
      <c r="M29" s="111"/>
      <c r="N29" s="119"/>
      <c r="O29" s="119" t="s">
        <v>194</v>
      </c>
      <c r="P29" s="113">
        <v>1400</v>
      </c>
      <c r="Q29" s="112">
        <v>45322</v>
      </c>
      <c r="R29" s="111"/>
      <c r="S29" s="113"/>
      <c r="T29" s="113"/>
      <c r="U29" s="113"/>
      <c r="V29" s="128"/>
      <c r="W29" s="118"/>
      <c r="X29" s="106">
        <v>30</v>
      </c>
    </row>
    <row r="30" spans="1:24" s="106" customFormat="1" ht="144" x14ac:dyDescent="0.3">
      <c r="A30" s="110">
        <v>6</v>
      </c>
      <c r="B30" s="111" t="s">
        <v>56</v>
      </c>
      <c r="C30" s="111" t="s">
        <v>146</v>
      </c>
      <c r="D30" s="111" t="s">
        <v>147</v>
      </c>
      <c r="E30" s="129">
        <v>11</v>
      </c>
      <c r="F30" s="119">
        <v>45321</v>
      </c>
      <c r="G30" s="111" t="s">
        <v>212</v>
      </c>
      <c r="H30" s="113">
        <v>14450</v>
      </c>
      <c r="I30" s="114">
        <f>IF(X30 = 31, H30 + SUM(S30:S30) - SUM(T30:T30) - SUM(P30:P30) - V30,0)</f>
        <v>0</v>
      </c>
      <c r="J30" s="111" t="s">
        <v>213</v>
      </c>
      <c r="K30" s="111" t="s">
        <v>199</v>
      </c>
      <c r="L30" s="111" t="s">
        <v>146</v>
      </c>
      <c r="M30" s="111"/>
      <c r="N30" s="119"/>
      <c r="O30" s="119" t="s">
        <v>194</v>
      </c>
      <c r="P30" s="113">
        <v>14450</v>
      </c>
      <c r="Q30" s="112">
        <v>45322</v>
      </c>
      <c r="R30" s="111"/>
      <c r="S30" s="113"/>
      <c r="T30" s="113"/>
      <c r="U30" s="113"/>
      <c r="V30" s="128"/>
      <c r="W30" s="118"/>
      <c r="X30" s="106">
        <v>31</v>
      </c>
    </row>
    <row r="31" spans="1:24" s="106" customFormat="1" ht="144" x14ac:dyDescent="0.3">
      <c r="A31" s="110">
        <v>7</v>
      </c>
      <c r="B31" s="111" t="s">
        <v>56</v>
      </c>
      <c r="C31" s="111" t="s">
        <v>163</v>
      </c>
      <c r="D31" s="111" t="s">
        <v>147</v>
      </c>
      <c r="E31" s="129">
        <v>10</v>
      </c>
      <c r="F31" s="119">
        <v>45327</v>
      </c>
      <c r="G31" s="111" t="s">
        <v>59</v>
      </c>
      <c r="H31" s="113">
        <v>14400</v>
      </c>
      <c r="I31" s="114">
        <f>IF(X31 = 32, H31 + SUM(S31:S31) - SUM(T31:T31) - SUM(P31:P31) - V31,0)</f>
        <v>0</v>
      </c>
      <c r="J31" s="111" t="s">
        <v>214</v>
      </c>
      <c r="K31" s="111" t="s">
        <v>215</v>
      </c>
      <c r="L31" s="111" t="s">
        <v>146</v>
      </c>
      <c r="M31" s="111"/>
      <c r="N31" s="119"/>
      <c r="O31" s="119" t="s">
        <v>194</v>
      </c>
      <c r="P31" s="113">
        <v>14400</v>
      </c>
      <c r="Q31" s="112">
        <v>45334</v>
      </c>
      <c r="R31" s="111"/>
      <c r="S31" s="113"/>
      <c r="T31" s="113"/>
      <c r="U31" s="113"/>
      <c r="V31" s="128"/>
      <c r="W31" s="118"/>
      <c r="X31" s="106">
        <v>32</v>
      </c>
    </row>
    <row r="32" spans="1:24" s="106" customFormat="1" ht="144" x14ac:dyDescent="0.3">
      <c r="A32" s="137">
        <v>8</v>
      </c>
      <c r="B32" s="138" t="s">
        <v>56</v>
      </c>
      <c r="C32" s="138" t="s">
        <v>146</v>
      </c>
      <c r="D32" s="138" t="s">
        <v>147</v>
      </c>
      <c r="E32" s="143">
        <v>45336</v>
      </c>
      <c r="F32" s="149">
        <v>45336</v>
      </c>
      <c r="G32" s="138" t="s">
        <v>216</v>
      </c>
      <c r="H32" s="139">
        <v>6000</v>
      </c>
      <c r="I32" s="140">
        <f>IF(X32 = 33, H32 + SUM(S32:S32) - SUM(T32:T32) - SUM(P32:P32) - V32,0)</f>
        <v>0</v>
      </c>
      <c r="J32" s="138" t="s">
        <v>208</v>
      </c>
      <c r="K32" s="138" t="s">
        <v>209</v>
      </c>
      <c r="L32" s="138" t="s">
        <v>146</v>
      </c>
      <c r="M32" s="138"/>
      <c r="N32" s="149"/>
      <c r="O32" s="149" t="s">
        <v>194</v>
      </c>
      <c r="P32" s="139">
        <v>6000</v>
      </c>
      <c r="Q32" s="142">
        <v>45348</v>
      </c>
      <c r="R32" s="138"/>
      <c r="S32" s="139"/>
      <c r="T32" s="139"/>
      <c r="U32" s="139"/>
      <c r="V32" s="148"/>
      <c r="W32" s="141"/>
      <c r="X32" s="106">
        <v>33</v>
      </c>
    </row>
    <row r="33" spans="1:24" s="106" customFormat="1" ht="144" x14ac:dyDescent="0.3">
      <c r="A33" s="137">
        <v>9</v>
      </c>
      <c r="B33" s="138" t="s">
        <v>56</v>
      </c>
      <c r="C33" s="138" t="s">
        <v>146</v>
      </c>
      <c r="D33" s="138" t="s">
        <v>147</v>
      </c>
      <c r="E33" s="147">
        <v>139</v>
      </c>
      <c r="F33" s="149">
        <v>45337</v>
      </c>
      <c r="G33" s="138" t="s">
        <v>217</v>
      </c>
      <c r="H33" s="139">
        <v>7000</v>
      </c>
      <c r="I33" s="140">
        <f>IF(X33 = 34, H33 + SUM(S33:S33) - SUM(T33:T33) - SUM(P33:P33) - V33,0)</f>
        <v>0</v>
      </c>
      <c r="J33" s="138" t="s">
        <v>218</v>
      </c>
      <c r="K33" s="138" t="s">
        <v>219</v>
      </c>
      <c r="L33" s="138" t="s">
        <v>146</v>
      </c>
      <c r="M33" s="138"/>
      <c r="N33" s="149"/>
      <c r="O33" s="149" t="s">
        <v>194</v>
      </c>
      <c r="P33" s="139">
        <v>7000</v>
      </c>
      <c r="Q33" s="142">
        <v>45350</v>
      </c>
      <c r="R33" s="138"/>
      <c r="S33" s="139"/>
      <c r="T33" s="139"/>
      <c r="U33" s="139"/>
      <c r="V33" s="148"/>
      <c r="W33" s="141"/>
      <c r="X33" s="106">
        <v>34</v>
      </c>
    </row>
    <row r="34" spans="1:24" s="106" customFormat="1" ht="144" x14ac:dyDescent="0.3">
      <c r="A34" s="137">
        <v>10</v>
      </c>
      <c r="B34" s="138" t="s">
        <v>56</v>
      </c>
      <c r="C34" s="138" t="s">
        <v>146</v>
      </c>
      <c r="D34" s="138" t="s">
        <v>147</v>
      </c>
      <c r="E34" s="143">
        <v>45348</v>
      </c>
      <c r="F34" s="149">
        <v>45348</v>
      </c>
      <c r="G34" s="138" t="s">
        <v>216</v>
      </c>
      <c r="H34" s="139">
        <v>13100</v>
      </c>
      <c r="I34" s="140">
        <f>IF(X34 = 35, H34 + SUM(S34:S34) - SUM(T34:T34) - SUM(P34:P34) - V34,0)</f>
        <v>0</v>
      </c>
      <c r="J34" s="138" t="s">
        <v>208</v>
      </c>
      <c r="K34" s="138" t="s">
        <v>209</v>
      </c>
      <c r="L34" s="138" t="s">
        <v>146</v>
      </c>
      <c r="M34" s="138"/>
      <c r="N34" s="149"/>
      <c r="O34" s="149" t="s">
        <v>194</v>
      </c>
      <c r="P34" s="139">
        <v>13100</v>
      </c>
      <c r="Q34" s="142">
        <v>45351</v>
      </c>
      <c r="R34" s="138"/>
      <c r="S34" s="139"/>
      <c r="T34" s="139"/>
      <c r="U34" s="139"/>
      <c r="V34" s="148"/>
      <c r="W34" s="141"/>
      <c r="X34" s="106">
        <v>35</v>
      </c>
    </row>
    <row r="35" spans="1:24" s="106" customFormat="1" ht="144" customHeight="1" x14ac:dyDescent="0.3">
      <c r="A35" s="462">
        <v>11</v>
      </c>
      <c r="B35" s="468" t="s">
        <v>56</v>
      </c>
      <c r="C35" s="468" t="s">
        <v>146</v>
      </c>
      <c r="D35" s="468" t="s">
        <v>220</v>
      </c>
      <c r="E35" s="464" t="s">
        <v>222</v>
      </c>
      <c r="F35" s="464">
        <v>45351</v>
      </c>
      <c r="G35" s="468" t="s">
        <v>223</v>
      </c>
      <c r="H35" s="466">
        <v>3600</v>
      </c>
      <c r="I35" s="474">
        <f>IF(X35 = 36, H35 + SUM(S35:S36) - SUM(T35:T36) - SUM(P35:P36) - V35,0)</f>
        <v>1200</v>
      </c>
      <c r="J35" s="468" t="s">
        <v>224</v>
      </c>
      <c r="K35" s="468" t="s">
        <v>157</v>
      </c>
      <c r="L35" s="468" t="s">
        <v>146</v>
      </c>
      <c r="M35" s="468"/>
      <c r="N35" s="340">
        <v>45382</v>
      </c>
      <c r="O35" s="464" t="s">
        <v>194</v>
      </c>
      <c r="P35" s="325">
        <v>600</v>
      </c>
      <c r="Q35" s="326">
        <v>45383</v>
      </c>
      <c r="R35" s="327"/>
      <c r="S35" s="325"/>
      <c r="T35" s="325"/>
      <c r="U35" s="466"/>
      <c r="V35" s="470"/>
      <c r="W35" s="472"/>
      <c r="X35" s="106">
        <v>36</v>
      </c>
    </row>
    <row r="36" spans="1:24" s="318" customFormat="1" x14ac:dyDescent="0.3">
      <c r="A36" s="463"/>
      <c r="B36" s="469"/>
      <c r="C36" s="469"/>
      <c r="D36" s="469"/>
      <c r="E36" s="465"/>
      <c r="F36" s="465"/>
      <c r="G36" s="469"/>
      <c r="H36" s="467"/>
      <c r="I36" s="475"/>
      <c r="J36" s="469"/>
      <c r="K36" s="469"/>
      <c r="L36" s="469"/>
      <c r="M36" s="469"/>
      <c r="N36" s="342">
        <v>45473</v>
      </c>
      <c r="O36" s="465"/>
      <c r="P36" s="335">
        <v>1800</v>
      </c>
      <c r="Q36" s="336">
        <v>45477</v>
      </c>
      <c r="R36" s="337"/>
      <c r="S36" s="335"/>
      <c r="T36" s="335"/>
      <c r="U36" s="467"/>
      <c r="V36" s="471"/>
      <c r="W36" s="473"/>
      <c r="X36" s="318">
        <v>36</v>
      </c>
    </row>
    <row r="37" spans="1:24" s="106" customFormat="1" ht="144" customHeight="1" x14ac:dyDescent="0.3">
      <c r="A37" s="431">
        <v>12</v>
      </c>
      <c r="B37" s="416" t="s">
        <v>56</v>
      </c>
      <c r="C37" s="416" t="s">
        <v>146</v>
      </c>
      <c r="D37" s="416" t="s">
        <v>147</v>
      </c>
      <c r="E37" s="422">
        <v>210012514659</v>
      </c>
      <c r="F37" s="422">
        <v>45356</v>
      </c>
      <c r="G37" s="416" t="s">
        <v>231</v>
      </c>
      <c r="H37" s="425">
        <v>6348</v>
      </c>
      <c r="I37" s="428">
        <f>IF(X37 = 37, H37 + SUM(S37:S40) - SUM(T37:T40) - SUM(P37:P40) - V37,0)</f>
        <v>2232</v>
      </c>
      <c r="J37" s="416" t="s">
        <v>232</v>
      </c>
      <c r="K37" s="416" t="s">
        <v>233</v>
      </c>
      <c r="L37" s="416" t="s">
        <v>146</v>
      </c>
      <c r="M37" s="416"/>
      <c r="N37" s="357">
        <v>45412</v>
      </c>
      <c r="O37" s="422" t="s">
        <v>234</v>
      </c>
      <c r="P37" s="348">
        <v>3000</v>
      </c>
      <c r="Q37" s="349">
        <v>45392</v>
      </c>
      <c r="R37" s="350"/>
      <c r="S37" s="348"/>
      <c r="T37" s="348"/>
      <c r="U37" s="425"/>
      <c r="V37" s="434"/>
      <c r="W37" s="413"/>
      <c r="X37" s="106">
        <v>37</v>
      </c>
    </row>
    <row r="38" spans="1:24" s="267" customFormat="1" x14ac:dyDescent="0.3">
      <c r="A38" s="432"/>
      <c r="B38" s="417"/>
      <c r="C38" s="417"/>
      <c r="D38" s="417"/>
      <c r="E38" s="423"/>
      <c r="F38" s="423"/>
      <c r="G38" s="417"/>
      <c r="H38" s="426"/>
      <c r="I38" s="429"/>
      <c r="J38" s="417"/>
      <c r="K38" s="417"/>
      <c r="L38" s="417"/>
      <c r="M38" s="417"/>
      <c r="N38" s="358">
        <v>45412</v>
      </c>
      <c r="O38" s="423"/>
      <c r="P38" s="351">
        <v>372</v>
      </c>
      <c r="Q38" s="352">
        <v>45425</v>
      </c>
      <c r="R38" s="353"/>
      <c r="S38" s="351"/>
      <c r="T38" s="351"/>
      <c r="U38" s="426"/>
      <c r="V38" s="435"/>
      <c r="W38" s="414"/>
      <c r="X38" s="267">
        <v>37</v>
      </c>
    </row>
    <row r="39" spans="1:24" s="318" customFormat="1" x14ac:dyDescent="0.3">
      <c r="A39" s="432"/>
      <c r="B39" s="417"/>
      <c r="C39" s="417"/>
      <c r="D39" s="417"/>
      <c r="E39" s="423"/>
      <c r="F39" s="423"/>
      <c r="G39" s="417"/>
      <c r="H39" s="426"/>
      <c r="I39" s="429"/>
      <c r="J39" s="417"/>
      <c r="K39" s="417"/>
      <c r="L39" s="417"/>
      <c r="M39" s="417"/>
      <c r="N39" s="358">
        <v>45473</v>
      </c>
      <c r="O39" s="423"/>
      <c r="P39" s="351">
        <v>372</v>
      </c>
      <c r="Q39" s="352">
        <v>45481</v>
      </c>
      <c r="R39" s="353"/>
      <c r="S39" s="351"/>
      <c r="T39" s="351"/>
      <c r="U39" s="426"/>
      <c r="V39" s="435"/>
      <c r="W39" s="414"/>
      <c r="X39" s="318">
        <v>37</v>
      </c>
    </row>
    <row r="40" spans="1:24" s="324" customFormat="1" x14ac:dyDescent="0.3">
      <c r="A40" s="433"/>
      <c r="B40" s="418"/>
      <c r="C40" s="418"/>
      <c r="D40" s="418"/>
      <c r="E40" s="424"/>
      <c r="F40" s="424"/>
      <c r="G40" s="418"/>
      <c r="H40" s="427"/>
      <c r="I40" s="430"/>
      <c r="J40" s="418"/>
      <c r="K40" s="418"/>
      <c r="L40" s="418"/>
      <c r="M40" s="418"/>
      <c r="N40" s="359">
        <v>45504</v>
      </c>
      <c r="O40" s="424"/>
      <c r="P40" s="354">
        <v>372</v>
      </c>
      <c r="Q40" s="355">
        <v>45519</v>
      </c>
      <c r="R40" s="356"/>
      <c r="S40" s="354"/>
      <c r="T40" s="354"/>
      <c r="U40" s="427"/>
      <c r="V40" s="436"/>
      <c r="W40" s="415"/>
      <c r="X40" s="324">
        <v>37</v>
      </c>
    </row>
    <row r="41" spans="1:24" s="106" customFormat="1" ht="144" x14ac:dyDescent="0.3">
      <c r="A41" s="159">
        <v>13</v>
      </c>
      <c r="B41" s="162" t="s">
        <v>56</v>
      </c>
      <c r="C41" s="162" t="s">
        <v>163</v>
      </c>
      <c r="D41" s="162" t="s">
        <v>147</v>
      </c>
      <c r="E41" s="160" t="s">
        <v>235</v>
      </c>
      <c r="F41" s="169">
        <v>45358</v>
      </c>
      <c r="G41" s="162" t="s">
        <v>236</v>
      </c>
      <c r="H41" s="161">
        <v>8200</v>
      </c>
      <c r="I41" s="166">
        <f>IF(X41 = 38, H41 + SUM(S41:S41) - SUM(T41:T41) - SUM(P41:P41) - V41,0)</f>
        <v>0</v>
      </c>
      <c r="J41" s="162" t="s">
        <v>237</v>
      </c>
      <c r="K41" s="162" t="s">
        <v>238</v>
      </c>
      <c r="L41" s="162" t="s">
        <v>146</v>
      </c>
      <c r="M41" s="162"/>
      <c r="N41" s="169">
        <v>45366</v>
      </c>
      <c r="O41" s="169" t="s">
        <v>234</v>
      </c>
      <c r="P41" s="161">
        <v>8200</v>
      </c>
      <c r="Q41" s="165">
        <v>45370</v>
      </c>
      <c r="R41" s="162"/>
      <c r="S41" s="161"/>
      <c r="T41" s="161"/>
      <c r="U41" s="161"/>
      <c r="V41" s="170"/>
      <c r="W41" s="164"/>
      <c r="X41" s="106">
        <v>38</v>
      </c>
    </row>
    <row r="42" spans="1:24" s="106" customFormat="1" ht="144" x14ac:dyDescent="0.3">
      <c r="A42" s="159">
        <v>14</v>
      </c>
      <c r="B42" s="162" t="s">
        <v>56</v>
      </c>
      <c r="C42" s="162" t="s">
        <v>146</v>
      </c>
      <c r="D42" s="162" t="s">
        <v>147</v>
      </c>
      <c r="E42" s="190">
        <v>41</v>
      </c>
      <c r="F42" s="169">
        <v>45302</v>
      </c>
      <c r="G42" s="162" t="s">
        <v>246</v>
      </c>
      <c r="H42" s="161">
        <v>10000</v>
      </c>
      <c r="I42" s="166">
        <f>IF(X42 = 39, H42 + SUM(S42:S42) - SUM(T42:T42) - SUM(P42:P42) - V42,0)</f>
        <v>0</v>
      </c>
      <c r="J42" s="162" t="s">
        <v>213</v>
      </c>
      <c r="K42" s="162" t="s">
        <v>199</v>
      </c>
      <c r="L42" s="162" t="s">
        <v>146</v>
      </c>
      <c r="M42" s="162"/>
      <c r="N42" s="169">
        <v>45362</v>
      </c>
      <c r="O42" s="169" t="s">
        <v>194</v>
      </c>
      <c r="P42" s="161">
        <v>10000</v>
      </c>
      <c r="Q42" s="165">
        <v>45363</v>
      </c>
      <c r="R42" s="162"/>
      <c r="S42" s="161"/>
      <c r="T42" s="161"/>
      <c r="U42" s="161"/>
      <c r="V42" s="170"/>
      <c r="W42" s="164"/>
      <c r="X42" s="106">
        <v>39</v>
      </c>
    </row>
    <row r="43" spans="1:24" s="106" customFormat="1" ht="144" x14ac:dyDescent="0.3">
      <c r="A43" s="159">
        <v>15</v>
      </c>
      <c r="B43" s="162" t="s">
        <v>56</v>
      </c>
      <c r="C43" s="162" t="s">
        <v>146</v>
      </c>
      <c r="D43" s="162" t="s">
        <v>147</v>
      </c>
      <c r="E43" s="160" t="s">
        <v>248</v>
      </c>
      <c r="F43" s="169">
        <v>45369</v>
      </c>
      <c r="G43" s="162" t="s">
        <v>247</v>
      </c>
      <c r="H43" s="161">
        <v>7000</v>
      </c>
      <c r="I43" s="166">
        <f>IF(X43 = 40, H43 + SUM(S43:S43) - SUM(T43:T43) - SUM(P43:P43) - V43,0)</f>
        <v>0</v>
      </c>
      <c r="J43" s="162" t="s">
        <v>245</v>
      </c>
      <c r="K43" s="162" t="s">
        <v>229</v>
      </c>
      <c r="L43" s="162" t="s">
        <v>146</v>
      </c>
      <c r="M43" s="162"/>
      <c r="N43" s="169">
        <v>45456</v>
      </c>
      <c r="O43" s="169" t="s">
        <v>194</v>
      </c>
      <c r="P43" s="161">
        <v>7000</v>
      </c>
      <c r="Q43" s="165">
        <v>45462</v>
      </c>
      <c r="R43" s="162"/>
      <c r="S43" s="161"/>
      <c r="T43" s="161"/>
      <c r="U43" s="161"/>
      <c r="V43" s="170"/>
      <c r="W43" s="164"/>
      <c r="X43" s="106">
        <v>40</v>
      </c>
    </row>
    <row r="44" spans="1:24" s="106" customFormat="1" ht="144" x14ac:dyDescent="0.3">
      <c r="A44" s="159">
        <v>16</v>
      </c>
      <c r="B44" s="162" t="s">
        <v>56</v>
      </c>
      <c r="C44" s="162" t="s">
        <v>146</v>
      </c>
      <c r="D44" s="162" t="s">
        <v>147</v>
      </c>
      <c r="E44" s="160" t="s">
        <v>249</v>
      </c>
      <c r="F44" s="169">
        <v>45372</v>
      </c>
      <c r="G44" s="162" t="s">
        <v>250</v>
      </c>
      <c r="H44" s="161">
        <v>7600</v>
      </c>
      <c r="I44" s="166">
        <f>IF(X44 = 41, H44 + SUM(S44:S44) - SUM(T44:T44) - SUM(P44:P44) - V44,0)</f>
        <v>0</v>
      </c>
      <c r="J44" s="162" t="s">
        <v>251</v>
      </c>
      <c r="K44" s="162" t="s">
        <v>252</v>
      </c>
      <c r="L44" s="162" t="s">
        <v>146</v>
      </c>
      <c r="M44" s="162"/>
      <c r="N44" s="169">
        <v>45372</v>
      </c>
      <c r="O44" s="169" t="s">
        <v>194</v>
      </c>
      <c r="P44" s="161">
        <v>7600</v>
      </c>
      <c r="Q44" s="165">
        <v>45376</v>
      </c>
      <c r="R44" s="162"/>
      <c r="S44" s="161"/>
      <c r="T44" s="161"/>
      <c r="U44" s="161"/>
      <c r="V44" s="170"/>
      <c r="W44" s="164"/>
      <c r="X44" s="106">
        <v>41</v>
      </c>
    </row>
    <row r="45" spans="1:24" s="106" customFormat="1" ht="144" x14ac:dyDescent="0.3">
      <c r="A45" s="171">
        <v>17</v>
      </c>
      <c r="B45" s="174" t="s">
        <v>56</v>
      </c>
      <c r="C45" s="174" t="s">
        <v>146</v>
      </c>
      <c r="D45" s="174" t="s">
        <v>147</v>
      </c>
      <c r="E45" s="172" t="s">
        <v>259</v>
      </c>
      <c r="F45" s="178">
        <v>45378</v>
      </c>
      <c r="G45" s="174" t="s">
        <v>258</v>
      </c>
      <c r="H45" s="173">
        <v>9357.7000000000007</v>
      </c>
      <c r="I45" s="177">
        <f>IF(X45 = 42, H45 + SUM(S45:S45) - SUM(T45:T45) - SUM(P45:P45) - V45,0)</f>
        <v>0</v>
      </c>
      <c r="J45" s="174" t="s">
        <v>257</v>
      </c>
      <c r="K45" s="174" t="s">
        <v>256</v>
      </c>
      <c r="L45" s="174" t="s">
        <v>146</v>
      </c>
      <c r="M45" s="174"/>
      <c r="N45" s="178">
        <v>45405</v>
      </c>
      <c r="O45" s="119" t="s">
        <v>165</v>
      </c>
      <c r="P45" s="173">
        <v>9357.7000000000007</v>
      </c>
      <c r="Q45" s="176">
        <v>45427</v>
      </c>
      <c r="R45" s="174"/>
      <c r="S45" s="173"/>
      <c r="T45" s="173"/>
      <c r="U45" s="173"/>
      <c r="V45" s="170"/>
      <c r="W45" s="175"/>
      <c r="X45" s="106">
        <v>42</v>
      </c>
    </row>
    <row r="46" spans="1:24" s="106" customFormat="1" ht="144" x14ac:dyDescent="0.3">
      <c r="A46" s="194">
        <v>18</v>
      </c>
      <c r="B46" s="195" t="s">
        <v>56</v>
      </c>
      <c r="C46" s="195" t="s">
        <v>146</v>
      </c>
      <c r="D46" s="195" t="s">
        <v>220</v>
      </c>
      <c r="E46" s="202">
        <v>12</v>
      </c>
      <c r="F46" s="201">
        <v>45407</v>
      </c>
      <c r="G46" s="195" t="s">
        <v>262</v>
      </c>
      <c r="H46" s="197">
        <v>1187</v>
      </c>
      <c r="I46" s="198">
        <f>IF(X46 = 43, H46 + SUM(S46:S46) - SUM(T46:T46) - SUM(P46:P46) - V46,0)</f>
        <v>0</v>
      </c>
      <c r="J46" s="195" t="s">
        <v>263</v>
      </c>
      <c r="K46" s="195" t="s">
        <v>264</v>
      </c>
      <c r="L46" s="195" t="s">
        <v>146</v>
      </c>
      <c r="M46" s="195"/>
      <c r="N46" s="201"/>
      <c r="O46" s="201" t="s">
        <v>165</v>
      </c>
      <c r="P46" s="197">
        <v>1187</v>
      </c>
      <c r="Q46" s="199">
        <v>45418</v>
      </c>
      <c r="R46" s="195"/>
      <c r="S46" s="197"/>
      <c r="T46" s="197"/>
      <c r="U46" s="197"/>
      <c r="V46" s="200"/>
      <c r="W46" s="192"/>
      <c r="X46" s="106">
        <v>43</v>
      </c>
    </row>
    <row r="47" spans="1:24" s="106" customFormat="1" ht="144" x14ac:dyDescent="0.3">
      <c r="A47" s="194">
        <v>19</v>
      </c>
      <c r="B47" s="195" t="s">
        <v>56</v>
      </c>
      <c r="C47" s="195" t="s">
        <v>146</v>
      </c>
      <c r="D47" s="195" t="s">
        <v>147</v>
      </c>
      <c r="E47" s="196" t="s">
        <v>266</v>
      </c>
      <c r="F47" s="201">
        <v>45385</v>
      </c>
      <c r="G47" s="195" t="s">
        <v>267</v>
      </c>
      <c r="H47" s="197">
        <v>5000</v>
      </c>
      <c r="I47" s="198">
        <f>IF(X47 = 44, H47 + SUM(S47:S47) - SUM(T47:T47) - SUM(P47:P47) - V47,0)</f>
        <v>0</v>
      </c>
      <c r="J47" s="195" t="s">
        <v>268</v>
      </c>
      <c r="K47" s="195" t="s">
        <v>269</v>
      </c>
      <c r="L47" s="195" t="s">
        <v>146</v>
      </c>
      <c r="M47" s="195"/>
      <c r="N47" s="201"/>
      <c r="O47" s="201" t="s">
        <v>165</v>
      </c>
      <c r="P47" s="197">
        <v>5000</v>
      </c>
      <c r="Q47" s="199">
        <v>45387</v>
      </c>
      <c r="R47" s="195"/>
      <c r="S47" s="197"/>
      <c r="T47" s="197"/>
      <c r="U47" s="197"/>
      <c r="V47" s="200"/>
      <c r="W47" s="192"/>
      <c r="X47" s="106">
        <v>44</v>
      </c>
    </row>
    <row r="48" spans="1:24" s="106" customFormat="1" ht="108" customHeight="1" x14ac:dyDescent="0.3">
      <c r="A48" s="442">
        <v>20</v>
      </c>
      <c r="B48" s="448" t="s">
        <v>56</v>
      </c>
      <c r="C48" s="448" t="s">
        <v>146</v>
      </c>
      <c r="D48" s="448" t="s">
        <v>220</v>
      </c>
      <c r="E48" s="444" t="s">
        <v>270</v>
      </c>
      <c r="F48" s="444">
        <v>45401</v>
      </c>
      <c r="G48" s="448" t="s">
        <v>271</v>
      </c>
      <c r="H48" s="446">
        <v>11370</v>
      </c>
      <c r="I48" s="455">
        <f>IF(X48 = 45, H48 + SUM(S48:S51) - SUM(T48:T51) - SUM(P48:P51) - V48,0)</f>
        <v>0</v>
      </c>
      <c r="J48" s="448" t="s">
        <v>272</v>
      </c>
      <c r="K48" s="448" t="s">
        <v>273</v>
      </c>
      <c r="L48" s="448" t="s">
        <v>146</v>
      </c>
      <c r="M48" s="448"/>
      <c r="N48" s="299"/>
      <c r="O48" s="444" t="s">
        <v>274</v>
      </c>
      <c r="P48" s="290">
        <v>2967</v>
      </c>
      <c r="Q48" s="291">
        <v>45406</v>
      </c>
      <c r="R48" s="292"/>
      <c r="S48" s="290"/>
      <c r="T48" s="290"/>
      <c r="U48" s="446"/>
      <c r="V48" s="450"/>
      <c r="W48" s="453"/>
      <c r="X48" s="106">
        <v>45</v>
      </c>
    </row>
    <row r="49" spans="1:24" s="204" customFormat="1" x14ac:dyDescent="0.3">
      <c r="A49" s="476"/>
      <c r="B49" s="452"/>
      <c r="C49" s="452"/>
      <c r="D49" s="452"/>
      <c r="E49" s="459"/>
      <c r="F49" s="459"/>
      <c r="G49" s="452"/>
      <c r="H49" s="460"/>
      <c r="I49" s="461"/>
      <c r="J49" s="452"/>
      <c r="K49" s="452"/>
      <c r="L49" s="452"/>
      <c r="M49" s="452"/>
      <c r="N49" s="300"/>
      <c r="O49" s="459"/>
      <c r="P49" s="293">
        <v>444</v>
      </c>
      <c r="Q49" s="294">
        <v>45406</v>
      </c>
      <c r="R49" s="295"/>
      <c r="S49" s="293"/>
      <c r="T49" s="293"/>
      <c r="U49" s="460"/>
      <c r="V49" s="457"/>
      <c r="W49" s="458"/>
      <c r="X49" s="204">
        <v>45</v>
      </c>
    </row>
    <row r="50" spans="1:24" s="280" customFormat="1" x14ac:dyDescent="0.3">
      <c r="A50" s="476"/>
      <c r="B50" s="452"/>
      <c r="C50" s="452"/>
      <c r="D50" s="452"/>
      <c r="E50" s="459"/>
      <c r="F50" s="459"/>
      <c r="G50" s="452"/>
      <c r="H50" s="460"/>
      <c r="I50" s="461"/>
      <c r="J50" s="452"/>
      <c r="K50" s="452"/>
      <c r="L50" s="452"/>
      <c r="M50" s="452"/>
      <c r="N50" s="300"/>
      <c r="O50" s="459"/>
      <c r="P50" s="293">
        <v>1036</v>
      </c>
      <c r="Q50" s="294" t="s">
        <v>320</v>
      </c>
      <c r="R50" s="295"/>
      <c r="S50" s="293"/>
      <c r="T50" s="293"/>
      <c r="U50" s="460"/>
      <c r="V50" s="457"/>
      <c r="W50" s="458"/>
      <c r="X50" s="280">
        <v>45</v>
      </c>
    </row>
    <row r="51" spans="1:24" s="280" customFormat="1" x14ac:dyDescent="0.3">
      <c r="A51" s="443"/>
      <c r="B51" s="449"/>
      <c r="C51" s="449"/>
      <c r="D51" s="449"/>
      <c r="E51" s="445"/>
      <c r="F51" s="445"/>
      <c r="G51" s="449"/>
      <c r="H51" s="447"/>
      <c r="I51" s="456"/>
      <c r="J51" s="449"/>
      <c r="K51" s="449"/>
      <c r="L51" s="449"/>
      <c r="M51" s="449"/>
      <c r="N51" s="301"/>
      <c r="O51" s="445"/>
      <c r="P51" s="296">
        <v>6923</v>
      </c>
      <c r="Q51" s="297">
        <v>45448</v>
      </c>
      <c r="R51" s="298"/>
      <c r="S51" s="296"/>
      <c r="T51" s="296"/>
      <c r="U51" s="447"/>
      <c r="V51" s="451"/>
      <c r="W51" s="454"/>
      <c r="X51" s="280">
        <v>45</v>
      </c>
    </row>
    <row r="52" spans="1:24" s="106" customFormat="1" ht="108" customHeight="1" x14ac:dyDescent="0.3">
      <c r="A52" s="442">
        <v>21</v>
      </c>
      <c r="B52" s="448" t="s">
        <v>56</v>
      </c>
      <c r="C52" s="448" t="s">
        <v>146</v>
      </c>
      <c r="D52" s="448" t="s">
        <v>147</v>
      </c>
      <c r="E52" s="444" t="s">
        <v>276</v>
      </c>
      <c r="F52" s="444">
        <v>45401</v>
      </c>
      <c r="G52" s="448" t="s">
        <v>275</v>
      </c>
      <c r="H52" s="446">
        <v>2461.29</v>
      </c>
      <c r="I52" s="455">
        <f>IF(X52 = 46, H52 + SUM(S52:S53) - SUM(T52:T53) - SUM(P52:P53) - V52,0)</f>
        <v>0</v>
      </c>
      <c r="J52" s="448" t="s">
        <v>272</v>
      </c>
      <c r="K52" s="448" t="s">
        <v>273</v>
      </c>
      <c r="L52" s="448" t="s">
        <v>146</v>
      </c>
      <c r="M52" s="448"/>
      <c r="N52" s="299"/>
      <c r="O52" s="444" t="s">
        <v>274</v>
      </c>
      <c r="P52" s="290">
        <v>738.38</v>
      </c>
      <c r="Q52" s="291">
        <v>45406</v>
      </c>
      <c r="R52" s="292"/>
      <c r="S52" s="290"/>
      <c r="T52" s="290"/>
      <c r="U52" s="446"/>
      <c r="V52" s="450"/>
      <c r="W52" s="453"/>
      <c r="X52" s="106">
        <v>46</v>
      </c>
    </row>
    <row r="53" spans="1:24" s="280" customFormat="1" x14ac:dyDescent="0.3">
      <c r="A53" s="443"/>
      <c r="B53" s="449"/>
      <c r="C53" s="449"/>
      <c r="D53" s="449"/>
      <c r="E53" s="445"/>
      <c r="F53" s="445"/>
      <c r="G53" s="449"/>
      <c r="H53" s="447"/>
      <c r="I53" s="456"/>
      <c r="J53" s="449"/>
      <c r="K53" s="449"/>
      <c r="L53" s="449"/>
      <c r="M53" s="449"/>
      <c r="N53" s="301"/>
      <c r="O53" s="445"/>
      <c r="P53" s="296">
        <v>1722.91</v>
      </c>
      <c r="Q53" s="297">
        <v>45449</v>
      </c>
      <c r="R53" s="298"/>
      <c r="S53" s="296"/>
      <c r="T53" s="296"/>
      <c r="U53" s="447"/>
      <c r="V53" s="451"/>
      <c r="W53" s="454"/>
      <c r="X53" s="280">
        <v>46</v>
      </c>
    </row>
    <row r="54" spans="1:24" s="106" customFormat="1" ht="144" x14ac:dyDescent="0.3">
      <c r="A54" s="194">
        <v>22</v>
      </c>
      <c r="B54" s="195" t="s">
        <v>56</v>
      </c>
      <c r="C54" s="195" t="s">
        <v>146</v>
      </c>
      <c r="D54" s="195" t="s">
        <v>220</v>
      </c>
      <c r="E54" s="201" t="s">
        <v>277</v>
      </c>
      <c r="F54" s="203">
        <v>45404</v>
      </c>
      <c r="G54" s="195" t="s">
        <v>207</v>
      </c>
      <c r="H54" s="197">
        <v>13000</v>
      </c>
      <c r="I54" s="198">
        <f>IF(X54 = 47, H54 + SUM(S54:S54) - SUM(T54:T54) - SUM(P54:P54) - V54,0)</f>
        <v>0</v>
      </c>
      <c r="J54" s="195" t="s">
        <v>208</v>
      </c>
      <c r="K54" s="195" t="s">
        <v>209</v>
      </c>
      <c r="L54" s="195" t="s">
        <v>146</v>
      </c>
      <c r="M54" s="195"/>
      <c r="N54" s="203"/>
      <c r="O54" s="203" t="s">
        <v>194</v>
      </c>
      <c r="P54" s="197">
        <v>13000</v>
      </c>
      <c r="Q54" s="199">
        <v>45418</v>
      </c>
      <c r="R54" s="195"/>
      <c r="S54" s="197"/>
      <c r="T54" s="197"/>
      <c r="U54" s="197"/>
      <c r="V54" s="200"/>
      <c r="W54" s="193"/>
      <c r="X54" s="106">
        <v>47</v>
      </c>
    </row>
    <row r="55" spans="1:24" s="106" customFormat="1" ht="144" x14ac:dyDescent="0.3">
      <c r="A55" s="194">
        <v>23</v>
      </c>
      <c r="B55" s="195" t="s">
        <v>56</v>
      </c>
      <c r="C55" s="195" t="s">
        <v>146</v>
      </c>
      <c r="D55" s="195" t="s">
        <v>147</v>
      </c>
      <c r="E55" s="195" t="s">
        <v>278</v>
      </c>
      <c r="F55" s="203">
        <v>45398</v>
      </c>
      <c r="G55" s="195" t="s">
        <v>207</v>
      </c>
      <c r="H55" s="197">
        <v>4400</v>
      </c>
      <c r="I55" s="198">
        <f>IF(X55 = 48, H55 + SUM(S55:S55) - SUM(T55:T55) - SUM(P55:P55) - V55,0)</f>
        <v>0</v>
      </c>
      <c r="J55" s="195" t="s">
        <v>208</v>
      </c>
      <c r="K55" s="195" t="s">
        <v>209</v>
      </c>
      <c r="L55" s="195" t="s">
        <v>146</v>
      </c>
      <c r="M55" s="195"/>
      <c r="N55" s="203"/>
      <c r="O55" s="203" t="s">
        <v>194</v>
      </c>
      <c r="P55" s="197">
        <v>4400</v>
      </c>
      <c r="Q55" s="199">
        <v>45408</v>
      </c>
      <c r="R55" s="195"/>
      <c r="S55" s="197"/>
      <c r="T55" s="197"/>
      <c r="U55" s="197"/>
      <c r="V55" s="200"/>
      <c r="W55" s="193"/>
      <c r="X55" s="106">
        <v>48</v>
      </c>
    </row>
    <row r="56" spans="1:24" s="106" customFormat="1" ht="144" x14ac:dyDescent="0.3">
      <c r="A56" s="228">
        <v>24</v>
      </c>
      <c r="B56" s="223" t="s">
        <v>56</v>
      </c>
      <c r="C56" s="223" t="s">
        <v>146</v>
      </c>
      <c r="D56" s="223" t="s">
        <v>147</v>
      </c>
      <c r="E56" s="223" t="s">
        <v>286</v>
      </c>
      <c r="F56" s="232">
        <v>45418</v>
      </c>
      <c r="G56" s="195" t="s">
        <v>207</v>
      </c>
      <c r="H56" s="230">
        <v>3830</v>
      </c>
      <c r="I56" s="231">
        <f>IF(X56 = 49, H56 + SUM(S56:S56) - SUM(T56:T56) - SUM(P56:P56) - V56,0)</f>
        <v>0</v>
      </c>
      <c r="J56" s="195" t="s">
        <v>208</v>
      </c>
      <c r="K56" s="195" t="s">
        <v>209</v>
      </c>
      <c r="L56" s="195" t="s">
        <v>146</v>
      </c>
      <c r="M56" s="195"/>
      <c r="N56" s="203">
        <v>45418</v>
      </c>
      <c r="O56" s="203" t="s">
        <v>194</v>
      </c>
      <c r="P56" s="230">
        <v>3830</v>
      </c>
      <c r="Q56" s="229">
        <v>45427</v>
      </c>
      <c r="R56" s="223"/>
      <c r="S56" s="230"/>
      <c r="T56" s="230"/>
      <c r="U56" s="230"/>
      <c r="V56" s="264"/>
      <c r="W56" s="227"/>
      <c r="X56" s="106">
        <v>49</v>
      </c>
    </row>
    <row r="57" spans="1:24" s="106" customFormat="1" ht="144" x14ac:dyDescent="0.3">
      <c r="A57" s="228">
        <v>25</v>
      </c>
      <c r="B57" s="223" t="s">
        <v>56</v>
      </c>
      <c r="C57" s="223" t="s">
        <v>146</v>
      </c>
      <c r="D57" s="223" t="s">
        <v>147</v>
      </c>
      <c r="E57" s="223" t="s">
        <v>287</v>
      </c>
      <c r="F57" s="232">
        <v>45427</v>
      </c>
      <c r="G57" s="223" t="s">
        <v>288</v>
      </c>
      <c r="H57" s="230">
        <v>9947.0499999999993</v>
      </c>
      <c r="I57" s="231">
        <f>IF(X57 = 50, H57 + SUM(S57:S57) - SUM(T57:T57) - SUM(P57:P57) - V57,0)</f>
        <v>0</v>
      </c>
      <c r="J57" s="223" t="s">
        <v>289</v>
      </c>
      <c r="K57" s="223" t="s">
        <v>290</v>
      </c>
      <c r="L57" s="223" t="s">
        <v>146</v>
      </c>
      <c r="M57" s="223"/>
      <c r="N57" s="232">
        <v>45427</v>
      </c>
      <c r="O57" s="203" t="s">
        <v>194</v>
      </c>
      <c r="P57" s="230">
        <v>9947.0499999999993</v>
      </c>
      <c r="Q57" s="229">
        <v>45429</v>
      </c>
      <c r="R57" s="223"/>
      <c r="S57" s="230"/>
      <c r="T57" s="230"/>
      <c r="U57" s="230"/>
      <c r="V57" s="264"/>
      <c r="W57" s="227"/>
      <c r="X57" s="106">
        <v>50</v>
      </c>
    </row>
    <row r="58" spans="1:24" s="106" customFormat="1" ht="144" x14ac:dyDescent="0.3">
      <c r="A58" s="243">
        <v>26</v>
      </c>
      <c r="B58" s="244" t="s">
        <v>56</v>
      </c>
      <c r="C58" s="244" t="s">
        <v>146</v>
      </c>
      <c r="D58" s="244" t="s">
        <v>147</v>
      </c>
      <c r="E58" s="244" t="s">
        <v>291</v>
      </c>
      <c r="F58" s="266">
        <v>45432</v>
      </c>
      <c r="G58" s="244" t="s">
        <v>207</v>
      </c>
      <c r="H58" s="247">
        <v>8090</v>
      </c>
      <c r="I58" s="248">
        <f>IF(X58 = 51, H58 + SUM(S58:S58) - SUM(T58:T58) - SUM(P58:P58) - V58,0)</f>
        <v>0</v>
      </c>
      <c r="J58" s="195" t="s">
        <v>208</v>
      </c>
      <c r="K58" s="195" t="s">
        <v>209</v>
      </c>
      <c r="L58" s="195" t="s">
        <v>146</v>
      </c>
      <c r="M58" s="244"/>
      <c r="N58" s="266">
        <v>45432</v>
      </c>
      <c r="O58" s="266" t="s">
        <v>194</v>
      </c>
      <c r="P58" s="247">
        <v>8090</v>
      </c>
      <c r="Q58" s="246">
        <v>45439</v>
      </c>
      <c r="R58" s="244"/>
      <c r="S58" s="247"/>
      <c r="T58" s="247"/>
      <c r="U58" s="247"/>
      <c r="V58" s="265"/>
      <c r="W58" s="252"/>
      <c r="X58" s="106">
        <v>51</v>
      </c>
    </row>
    <row r="59" spans="1:24" s="106" customFormat="1" ht="144" x14ac:dyDescent="0.3">
      <c r="A59" s="243">
        <v>27</v>
      </c>
      <c r="B59" s="244" t="s">
        <v>56</v>
      </c>
      <c r="C59" s="244" t="s">
        <v>146</v>
      </c>
      <c r="D59" s="244" t="s">
        <v>147</v>
      </c>
      <c r="E59" s="244" t="s">
        <v>292</v>
      </c>
      <c r="F59" s="268">
        <v>45435</v>
      </c>
      <c r="G59" s="244" t="s">
        <v>293</v>
      </c>
      <c r="H59" s="247">
        <v>3000</v>
      </c>
      <c r="I59" s="248">
        <f>IF(X59 = 52, H59 + SUM(S59:S59) - SUM(T59:T59) - SUM(P59:P59) - V59,0)</f>
        <v>0</v>
      </c>
      <c r="J59" s="244" t="s">
        <v>294</v>
      </c>
      <c r="K59" s="244" t="s">
        <v>295</v>
      </c>
      <c r="L59" s="244" t="s">
        <v>146</v>
      </c>
      <c r="M59" s="244"/>
      <c r="N59" s="268">
        <v>45435</v>
      </c>
      <c r="O59" s="268" t="s">
        <v>194</v>
      </c>
      <c r="P59" s="247">
        <v>3000</v>
      </c>
      <c r="Q59" s="246">
        <v>45439</v>
      </c>
      <c r="R59" s="244"/>
      <c r="S59" s="247"/>
      <c r="T59" s="247"/>
      <c r="U59" s="247"/>
      <c r="V59" s="265"/>
      <c r="W59" s="252"/>
      <c r="X59" s="106">
        <v>52</v>
      </c>
    </row>
    <row r="60" spans="1:24" s="106" customFormat="1" ht="144" x14ac:dyDescent="0.3">
      <c r="A60" s="243">
        <v>28</v>
      </c>
      <c r="B60" s="244" t="s">
        <v>56</v>
      </c>
      <c r="C60" s="244" t="s">
        <v>146</v>
      </c>
      <c r="D60" s="244" t="s">
        <v>147</v>
      </c>
      <c r="E60" s="244" t="s">
        <v>296</v>
      </c>
      <c r="F60" s="278">
        <v>45414</v>
      </c>
      <c r="G60" s="244" t="s">
        <v>297</v>
      </c>
      <c r="H60" s="247">
        <v>8645</v>
      </c>
      <c r="I60" s="248">
        <f>IF(X60 = 53, H60 + SUM(S60:S60) - SUM(T60:T60) - SUM(P60:P60) - V60,0)</f>
        <v>0</v>
      </c>
      <c r="J60" s="244" t="s">
        <v>298</v>
      </c>
      <c r="K60" s="244" t="s">
        <v>299</v>
      </c>
      <c r="L60" s="244" t="s">
        <v>146</v>
      </c>
      <c r="M60" s="244"/>
      <c r="N60" s="278"/>
      <c r="O60" s="278" t="s">
        <v>194</v>
      </c>
      <c r="P60" s="247">
        <v>8645</v>
      </c>
      <c r="Q60" s="246">
        <v>45418</v>
      </c>
      <c r="R60" s="244"/>
      <c r="S60" s="247"/>
      <c r="T60" s="247"/>
      <c r="U60" s="247"/>
      <c r="V60" s="265"/>
      <c r="W60" s="252"/>
      <c r="X60" s="106">
        <v>53</v>
      </c>
    </row>
    <row r="61" spans="1:24" s="106" customFormat="1" ht="144" x14ac:dyDescent="0.3">
      <c r="A61" s="281">
        <v>29</v>
      </c>
      <c r="B61" s="279" t="s">
        <v>56</v>
      </c>
      <c r="C61" s="279" t="s">
        <v>146</v>
      </c>
      <c r="D61" s="279" t="s">
        <v>147</v>
      </c>
      <c r="E61" s="279" t="s">
        <v>300</v>
      </c>
      <c r="F61" s="287">
        <v>45439</v>
      </c>
      <c r="G61" s="279" t="s">
        <v>207</v>
      </c>
      <c r="H61" s="282">
        <v>4970</v>
      </c>
      <c r="I61" s="283">
        <f>IF(X61 = 54, H61 + SUM(S61:S61) - SUM(T61:T61) - SUM(P61:P61) - V61,0)</f>
        <v>0</v>
      </c>
      <c r="J61" s="195" t="s">
        <v>208</v>
      </c>
      <c r="K61" s="195" t="s">
        <v>209</v>
      </c>
      <c r="L61" s="279" t="s">
        <v>146</v>
      </c>
      <c r="M61" s="279"/>
      <c r="N61" s="287"/>
      <c r="O61" s="287" t="s">
        <v>194</v>
      </c>
      <c r="P61" s="282">
        <v>4970</v>
      </c>
      <c r="Q61" s="284">
        <v>45447</v>
      </c>
      <c r="R61" s="279"/>
      <c r="S61" s="282"/>
      <c r="T61" s="282"/>
      <c r="U61" s="282"/>
      <c r="V61" s="285"/>
      <c r="W61" s="286"/>
      <c r="X61" s="106">
        <v>54</v>
      </c>
    </row>
    <row r="62" spans="1:24" s="106" customFormat="1" ht="144" customHeight="1" x14ac:dyDescent="0.3">
      <c r="A62" s="462">
        <v>30</v>
      </c>
      <c r="B62" s="468" t="s">
        <v>56</v>
      </c>
      <c r="C62" s="468" t="s">
        <v>146</v>
      </c>
      <c r="D62" s="468" t="s">
        <v>147</v>
      </c>
      <c r="E62" s="468" t="s">
        <v>306</v>
      </c>
      <c r="F62" s="464">
        <v>45464</v>
      </c>
      <c r="G62" s="468" t="s">
        <v>305</v>
      </c>
      <c r="H62" s="466">
        <v>19000</v>
      </c>
      <c r="I62" s="474">
        <f>IF(X62 = 55, H62 + SUM(S62:S63) - SUM(T62:T63) - SUM(P62:P63) - V62,0)</f>
        <v>0</v>
      </c>
      <c r="J62" s="468" t="s">
        <v>304</v>
      </c>
      <c r="K62" s="468" t="s">
        <v>303</v>
      </c>
      <c r="L62" s="468" t="s">
        <v>146</v>
      </c>
      <c r="M62" s="468"/>
      <c r="N62" s="340">
        <v>45464</v>
      </c>
      <c r="O62" s="464" t="s">
        <v>194</v>
      </c>
      <c r="P62" s="325">
        <v>7256</v>
      </c>
      <c r="Q62" s="326">
        <v>45477</v>
      </c>
      <c r="R62" s="327"/>
      <c r="S62" s="325"/>
      <c r="T62" s="325"/>
      <c r="U62" s="466"/>
      <c r="V62" s="470"/>
      <c r="W62" s="472"/>
      <c r="X62" s="106">
        <v>55</v>
      </c>
    </row>
    <row r="63" spans="1:24" s="318" customFormat="1" x14ac:dyDescent="0.3">
      <c r="A63" s="463"/>
      <c r="B63" s="469"/>
      <c r="C63" s="469"/>
      <c r="D63" s="469"/>
      <c r="E63" s="469"/>
      <c r="F63" s="465"/>
      <c r="G63" s="469"/>
      <c r="H63" s="467"/>
      <c r="I63" s="475"/>
      <c r="J63" s="469"/>
      <c r="K63" s="469"/>
      <c r="L63" s="469"/>
      <c r="M63" s="469"/>
      <c r="N63" s="342">
        <v>45464</v>
      </c>
      <c r="O63" s="465"/>
      <c r="P63" s="335">
        <v>11744</v>
      </c>
      <c r="Q63" s="336">
        <v>45477</v>
      </c>
      <c r="R63" s="337"/>
      <c r="S63" s="335"/>
      <c r="T63" s="335"/>
      <c r="U63" s="467"/>
      <c r="V63" s="471"/>
      <c r="W63" s="473"/>
      <c r="X63" s="318">
        <v>55</v>
      </c>
    </row>
    <row r="64" spans="1:24" s="106" customFormat="1" ht="144" customHeight="1" x14ac:dyDescent="0.3">
      <c r="A64" s="462">
        <v>31</v>
      </c>
      <c r="B64" s="468" t="s">
        <v>56</v>
      </c>
      <c r="C64" s="468" t="s">
        <v>146</v>
      </c>
      <c r="D64" s="468" t="s">
        <v>147</v>
      </c>
      <c r="E64" s="468" t="s">
        <v>307</v>
      </c>
      <c r="F64" s="464">
        <v>45464</v>
      </c>
      <c r="G64" s="468" t="s">
        <v>308</v>
      </c>
      <c r="H64" s="466">
        <v>6600</v>
      </c>
      <c r="I64" s="474">
        <f>IF(X64 = 56, H64 + SUM(S64:S65) - SUM(T64:T65) - SUM(P64:P65) - V64,0)</f>
        <v>0</v>
      </c>
      <c r="J64" s="468" t="s">
        <v>309</v>
      </c>
      <c r="K64" s="468" t="s">
        <v>310</v>
      </c>
      <c r="L64" s="468" t="s">
        <v>146</v>
      </c>
      <c r="M64" s="468"/>
      <c r="N64" s="340"/>
      <c r="O64" s="464" t="s">
        <v>194</v>
      </c>
      <c r="P64" s="325">
        <v>1980</v>
      </c>
      <c r="Q64" s="326">
        <v>45469</v>
      </c>
      <c r="R64" s="327"/>
      <c r="S64" s="325"/>
      <c r="T64" s="325"/>
      <c r="U64" s="466"/>
      <c r="V64" s="470"/>
      <c r="W64" s="472"/>
      <c r="X64" s="106">
        <v>56</v>
      </c>
    </row>
    <row r="65" spans="1:24" s="318" customFormat="1" x14ac:dyDescent="0.3">
      <c r="A65" s="463"/>
      <c r="B65" s="469"/>
      <c r="C65" s="469"/>
      <c r="D65" s="469"/>
      <c r="E65" s="469"/>
      <c r="F65" s="465"/>
      <c r="G65" s="469"/>
      <c r="H65" s="467"/>
      <c r="I65" s="475"/>
      <c r="J65" s="469"/>
      <c r="K65" s="469"/>
      <c r="L65" s="469"/>
      <c r="M65" s="469"/>
      <c r="N65" s="342">
        <v>45483</v>
      </c>
      <c r="O65" s="465"/>
      <c r="P65" s="335">
        <v>4620</v>
      </c>
      <c r="Q65" s="336">
        <v>45489</v>
      </c>
      <c r="R65" s="337"/>
      <c r="S65" s="335"/>
      <c r="T65" s="335"/>
      <c r="U65" s="467"/>
      <c r="V65" s="471"/>
      <c r="W65" s="473"/>
      <c r="X65" s="318">
        <v>56</v>
      </c>
    </row>
    <row r="66" spans="1:24" s="106" customFormat="1" ht="144" x14ac:dyDescent="0.3">
      <c r="A66" s="310">
        <v>32</v>
      </c>
      <c r="B66" s="311" t="s">
        <v>56</v>
      </c>
      <c r="C66" s="311" t="s">
        <v>146</v>
      </c>
      <c r="D66" s="311" t="s">
        <v>147</v>
      </c>
      <c r="E66" s="311" t="s">
        <v>321</v>
      </c>
      <c r="F66" s="316">
        <v>45446</v>
      </c>
      <c r="G66" s="311" t="s">
        <v>322</v>
      </c>
      <c r="H66" s="312">
        <v>196573.14</v>
      </c>
      <c r="I66" s="313">
        <f>IF(X66 = 57, H66 + SUM(S66:S66) - SUM(T66:T66) - SUM(P66:P66) - V66,0)</f>
        <v>0</v>
      </c>
      <c r="J66" s="311" t="s">
        <v>323</v>
      </c>
      <c r="K66" s="311" t="s">
        <v>324</v>
      </c>
      <c r="L66" s="311" t="s">
        <v>146</v>
      </c>
      <c r="M66" s="311"/>
      <c r="N66" s="316">
        <v>45474</v>
      </c>
      <c r="O66" s="316" t="s">
        <v>194</v>
      </c>
      <c r="P66" s="312">
        <v>196573.14</v>
      </c>
      <c r="Q66" s="314">
        <v>45483</v>
      </c>
      <c r="R66" s="311"/>
      <c r="S66" s="312"/>
      <c r="T66" s="312"/>
      <c r="U66" s="312"/>
      <c r="V66" s="315"/>
      <c r="W66" s="309"/>
      <c r="X66" s="106">
        <v>57</v>
      </c>
    </row>
    <row r="67" spans="1:24" s="106" customFormat="1" ht="144" x14ac:dyDescent="0.3">
      <c r="A67" s="310">
        <v>33</v>
      </c>
      <c r="B67" s="311" t="s">
        <v>56</v>
      </c>
      <c r="C67" s="311" t="s">
        <v>146</v>
      </c>
      <c r="D67" s="311" t="s">
        <v>147</v>
      </c>
      <c r="E67" s="311" t="s">
        <v>325</v>
      </c>
      <c r="F67" s="316">
        <v>45446</v>
      </c>
      <c r="G67" s="311" t="s">
        <v>328</v>
      </c>
      <c r="H67" s="312">
        <v>274956.38</v>
      </c>
      <c r="I67" s="313">
        <f>IF(X67 = 58, H67 + SUM(S67:S67) - SUM(T67:T67) - SUM(P67:P67) - V67,0)</f>
        <v>0</v>
      </c>
      <c r="J67" s="311" t="s">
        <v>323</v>
      </c>
      <c r="K67" s="311" t="s">
        <v>324</v>
      </c>
      <c r="L67" s="311" t="s">
        <v>146</v>
      </c>
      <c r="M67" s="311"/>
      <c r="N67" s="316">
        <v>45474</v>
      </c>
      <c r="O67" s="316" t="s">
        <v>194</v>
      </c>
      <c r="P67" s="312">
        <v>274956.38</v>
      </c>
      <c r="Q67" s="314">
        <v>45481</v>
      </c>
      <c r="R67" s="311"/>
      <c r="S67" s="312"/>
      <c r="T67" s="312"/>
      <c r="U67" s="312"/>
      <c r="V67" s="315"/>
      <c r="W67" s="309"/>
      <c r="X67" s="106">
        <v>58</v>
      </c>
    </row>
    <row r="68" spans="1:24" s="106" customFormat="1" ht="144" x14ac:dyDescent="0.3">
      <c r="A68" s="310">
        <v>34</v>
      </c>
      <c r="B68" s="311" t="s">
        <v>56</v>
      </c>
      <c r="C68" s="311" t="s">
        <v>146</v>
      </c>
      <c r="D68" s="311" t="s">
        <v>147</v>
      </c>
      <c r="E68" s="311" t="s">
        <v>327</v>
      </c>
      <c r="F68" s="316">
        <v>45446</v>
      </c>
      <c r="G68" s="311" t="s">
        <v>326</v>
      </c>
      <c r="H68" s="312">
        <v>488728.36</v>
      </c>
      <c r="I68" s="313">
        <f>IF(X68 = 59, H68 + SUM(S68:S68) - SUM(T68:T68) - SUM(P68:P68) - V68,0)</f>
        <v>0</v>
      </c>
      <c r="J68" s="311" t="s">
        <v>323</v>
      </c>
      <c r="K68" s="311" t="s">
        <v>324</v>
      </c>
      <c r="L68" s="311" t="s">
        <v>146</v>
      </c>
      <c r="M68" s="311"/>
      <c r="N68" s="316">
        <v>45474</v>
      </c>
      <c r="O68" s="316" t="s">
        <v>194</v>
      </c>
      <c r="P68" s="312">
        <v>488728.36</v>
      </c>
      <c r="Q68" s="314">
        <v>45481</v>
      </c>
      <c r="R68" s="311"/>
      <c r="S68" s="312"/>
      <c r="T68" s="312"/>
      <c r="U68" s="312"/>
      <c r="V68" s="315"/>
      <c r="W68" s="309"/>
      <c r="X68" s="106">
        <v>59</v>
      </c>
    </row>
    <row r="69" spans="1:24" s="106" customFormat="1" ht="144" x14ac:dyDescent="0.3">
      <c r="A69" s="310">
        <v>35</v>
      </c>
      <c r="B69" s="311" t="s">
        <v>56</v>
      </c>
      <c r="C69" s="311" t="s">
        <v>146</v>
      </c>
      <c r="D69" s="311" t="s">
        <v>147</v>
      </c>
      <c r="E69" s="311" t="s">
        <v>330</v>
      </c>
      <c r="F69" s="320">
        <v>45489</v>
      </c>
      <c r="G69" s="311" t="s">
        <v>329</v>
      </c>
      <c r="H69" s="312">
        <v>19500</v>
      </c>
      <c r="I69" s="313">
        <f>IF(X69 = 60, H69 + SUM(S69:S69) - SUM(T69:T69) - SUM(P69:P69) - V69,0)</f>
        <v>0</v>
      </c>
      <c r="J69" s="311" t="s">
        <v>331</v>
      </c>
      <c r="K69" s="311" t="s">
        <v>332</v>
      </c>
      <c r="L69" s="311" t="s">
        <v>146</v>
      </c>
      <c r="M69" s="311"/>
      <c r="N69" s="320">
        <v>45489</v>
      </c>
      <c r="O69" s="320" t="s">
        <v>194</v>
      </c>
      <c r="P69" s="312">
        <v>19500</v>
      </c>
      <c r="Q69" s="314">
        <v>45489</v>
      </c>
      <c r="R69" s="311"/>
      <c r="S69" s="312"/>
      <c r="T69" s="312"/>
      <c r="U69" s="312"/>
      <c r="V69" s="315"/>
      <c r="W69" s="317"/>
      <c r="X69" s="106">
        <v>60</v>
      </c>
    </row>
    <row r="70" spans="1:24" s="106" customFormat="1" ht="144" x14ac:dyDescent="0.3">
      <c r="A70" s="310">
        <v>36</v>
      </c>
      <c r="B70" s="311" t="s">
        <v>56</v>
      </c>
      <c r="C70" s="311" t="s">
        <v>146</v>
      </c>
      <c r="D70" s="311" t="s">
        <v>147</v>
      </c>
      <c r="E70" s="311" t="s">
        <v>335</v>
      </c>
      <c r="F70" s="347">
        <v>45492</v>
      </c>
      <c r="G70" s="311" t="s">
        <v>336</v>
      </c>
      <c r="H70" s="312">
        <v>47600</v>
      </c>
      <c r="I70" s="313">
        <f>IF(X70 = 61, H70 + SUM(S70:S70) - SUM(T70:T70) - SUM(P70:P70) - V70,0)</f>
        <v>0</v>
      </c>
      <c r="J70" s="311" t="s">
        <v>337</v>
      </c>
      <c r="K70" s="311" t="s">
        <v>338</v>
      </c>
      <c r="L70" s="311" t="s">
        <v>146</v>
      </c>
      <c r="M70" s="311"/>
      <c r="N70" s="347">
        <v>45504</v>
      </c>
      <c r="O70" s="347" t="s">
        <v>194</v>
      </c>
      <c r="P70" s="312">
        <v>47600</v>
      </c>
      <c r="Q70" s="314">
        <v>45504</v>
      </c>
      <c r="R70" s="311"/>
      <c r="S70" s="312"/>
      <c r="T70" s="312"/>
      <c r="U70" s="312"/>
      <c r="V70" s="315"/>
      <c r="W70" s="319"/>
      <c r="X70" s="106">
        <v>61</v>
      </c>
    </row>
    <row r="71" spans="1:24" s="106" customFormat="1" ht="144" x14ac:dyDescent="0.3">
      <c r="A71" s="331">
        <v>37</v>
      </c>
      <c r="B71" s="332" t="s">
        <v>56</v>
      </c>
      <c r="C71" s="332" t="s">
        <v>146</v>
      </c>
      <c r="D71" s="332" t="s">
        <v>147</v>
      </c>
      <c r="E71" s="332" t="s">
        <v>36</v>
      </c>
      <c r="F71" s="362">
        <v>45492</v>
      </c>
      <c r="G71" s="332" t="s">
        <v>339</v>
      </c>
      <c r="H71" s="333">
        <v>33000</v>
      </c>
      <c r="I71" s="334">
        <f>IF(X71 = 62, H71 + SUM(S71:S71) - SUM(T71:T71) - SUM(P71:P71) - V71,0)</f>
        <v>0</v>
      </c>
      <c r="J71" s="332" t="s">
        <v>340</v>
      </c>
      <c r="K71" s="332" t="s">
        <v>341</v>
      </c>
      <c r="L71" s="332" t="s">
        <v>146</v>
      </c>
      <c r="M71" s="332"/>
      <c r="N71" s="362">
        <v>45507</v>
      </c>
      <c r="O71" s="362" t="s">
        <v>194</v>
      </c>
      <c r="P71" s="333">
        <v>33000</v>
      </c>
      <c r="Q71" s="343">
        <v>45511</v>
      </c>
      <c r="R71" s="332"/>
      <c r="S71" s="333"/>
      <c r="T71" s="333"/>
      <c r="U71" s="333"/>
      <c r="V71" s="338"/>
      <c r="W71" s="339"/>
      <c r="X71" s="106">
        <v>62</v>
      </c>
    </row>
    <row r="72" spans="1:24" s="106" customFormat="1" ht="144" x14ac:dyDescent="0.3">
      <c r="A72" s="331">
        <v>38</v>
      </c>
      <c r="B72" s="332" t="s">
        <v>56</v>
      </c>
      <c r="C72" s="332" t="s">
        <v>146</v>
      </c>
      <c r="D72" s="332" t="s">
        <v>147</v>
      </c>
      <c r="E72" s="332" t="s">
        <v>342</v>
      </c>
      <c r="F72" s="362">
        <v>45498</v>
      </c>
      <c r="G72" s="332" t="s">
        <v>343</v>
      </c>
      <c r="H72" s="333">
        <v>15299.3</v>
      </c>
      <c r="I72" s="334">
        <f>IF(X72 = 63, H72 + SUM(S72:S72) - SUM(T72:T72) - SUM(P72:P72) - V72,0)</f>
        <v>0</v>
      </c>
      <c r="J72" s="332" t="s">
        <v>344</v>
      </c>
      <c r="K72" s="332" t="s">
        <v>345</v>
      </c>
      <c r="L72" s="332" t="s">
        <v>146</v>
      </c>
      <c r="M72" s="332"/>
      <c r="N72" s="362">
        <v>45498</v>
      </c>
      <c r="O72" s="362" t="s">
        <v>165</v>
      </c>
      <c r="P72" s="333">
        <v>15299.3</v>
      </c>
      <c r="Q72" s="343"/>
      <c r="R72" s="332"/>
      <c r="S72" s="333"/>
      <c r="T72" s="333"/>
      <c r="U72" s="333"/>
      <c r="V72" s="338"/>
      <c r="W72" s="339"/>
      <c r="X72" s="106">
        <v>63</v>
      </c>
    </row>
    <row r="73" spans="1:24" s="106" customFormat="1" ht="144" x14ac:dyDescent="0.3">
      <c r="A73" s="331">
        <v>39</v>
      </c>
      <c r="B73" s="332" t="s">
        <v>56</v>
      </c>
      <c r="C73" s="332" t="s">
        <v>146</v>
      </c>
      <c r="D73" s="332" t="s">
        <v>147</v>
      </c>
      <c r="E73" s="332" t="s">
        <v>346</v>
      </c>
      <c r="F73" s="362">
        <v>45523</v>
      </c>
      <c r="G73" s="332" t="s">
        <v>350</v>
      </c>
      <c r="H73" s="333">
        <v>24900.799999999999</v>
      </c>
      <c r="I73" s="334">
        <f>IF(X73 = 64, H73 + SUM(S73:S73) - SUM(T73:T73) - SUM(P73:P73) - V73,0)</f>
        <v>0</v>
      </c>
      <c r="J73" s="332" t="s">
        <v>351</v>
      </c>
      <c r="K73" s="332" t="s">
        <v>352</v>
      </c>
      <c r="L73" s="332" t="s">
        <v>146</v>
      </c>
      <c r="M73" s="332"/>
      <c r="N73" s="362">
        <v>45523</v>
      </c>
      <c r="O73" s="362" t="s">
        <v>194</v>
      </c>
      <c r="P73" s="333">
        <v>24900.799999999999</v>
      </c>
      <c r="Q73" s="343">
        <v>45527</v>
      </c>
      <c r="R73" s="332"/>
      <c r="S73" s="333"/>
      <c r="T73" s="333"/>
      <c r="U73" s="333"/>
      <c r="V73" s="338"/>
      <c r="W73" s="339"/>
      <c r="X73" s="106">
        <v>64</v>
      </c>
    </row>
    <row r="74" spans="1:24" s="106" customFormat="1" ht="144" x14ac:dyDescent="0.3">
      <c r="A74" s="331">
        <v>40</v>
      </c>
      <c r="B74" s="332" t="s">
        <v>56</v>
      </c>
      <c r="C74" s="332" t="s">
        <v>146</v>
      </c>
      <c r="D74" s="332" t="s">
        <v>147</v>
      </c>
      <c r="E74" s="332" t="s">
        <v>355</v>
      </c>
      <c r="F74" s="362">
        <v>45524</v>
      </c>
      <c r="G74" s="332" t="s">
        <v>354</v>
      </c>
      <c r="H74" s="333">
        <v>48800</v>
      </c>
      <c r="I74" s="334">
        <f>IF(X74 = 65, H74 + SUM(S74:S74) - SUM(T74:T74) - SUM(P74:P74) - V74,0)</f>
        <v>0</v>
      </c>
      <c r="J74" s="332" t="s">
        <v>337</v>
      </c>
      <c r="K74" s="332" t="s">
        <v>353</v>
      </c>
      <c r="L74" s="332" t="s">
        <v>146</v>
      </c>
      <c r="M74" s="332"/>
      <c r="N74" s="362">
        <v>45524</v>
      </c>
      <c r="O74" s="362" t="s">
        <v>194</v>
      </c>
      <c r="P74" s="333">
        <v>48800</v>
      </c>
      <c r="Q74" s="343">
        <v>45527</v>
      </c>
      <c r="R74" s="332"/>
      <c r="S74" s="333"/>
      <c r="T74" s="333"/>
      <c r="U74" s="333"/>
      <c r="V74" s="338"/>
      <c r="W74" s="339"/>
      <c r="X74" s="106">
        <v>65</v>
      </c>
    </row>
    <row r="75" spans="1:24" s="106" customFormat="1" ht="144" x14ac:dyDescent="0.3">
      <c r="A75" s="331">
        <v>41</v>
      </c>
      <c r="B75" s="332" t="s">
        <v>56</v>
      </c>
      <c r="C75" s="332" t="s">
        <v>146</v>
      </c>
      <c r="D75" s="332" t="s">
        <v>147</v>
      </c>
      <c r="E75" s="332" t="s">
        <v>356</v>
      </c>
      <c r="F75" s="362">
        <v>45526</v>
      </c>
      <c r="G75" s="332" t="s">
        <v>357</v>
      </c>
      <c r="H75" s="333">
        <v>10990</v>
      </c>
      <c r="I75" s="334">
        <f>IF(X75 = 66, H75 + SUM(S75:S75) - SUM(T75:T75) - SUM(P75:P75) - V75,0)</f>
        <v>0</v>
      </c>
      <c r="J75" s="332" t="s">
        <v>358</v>
      </c>
      <c r="K75" s="332" t="s">
        <v>359</v>
      </c>
      <c r="L75" s="332" t="s">
        <v>146</v>
      </c>
      <c r="M75" s="332"/>
      <c r="N75" s="362">
        <v>45526</v>
      </c>
      <c r="O75" s="362" t="s">
        <v>194</v>
      </c>
      <c r="P75" s="333">
        <v>10990</v>
      </c>
      <c r="Q75" s="343">
        <v>45527</v>
      </c>
      <c r="R75" s="332"/>
      <c r="S75" s="333"/>
      <c r="T75" s="333"/>
      <c r="U75" s="333"/>
      <c r="V75" s="338"/>
      <c r="W75" s="339"/>
      <c r="X75" s="106">
        <v>66</v>
      </c>
    </row>
    <row r="76" spans="1:24" s="106" customFormat="1" ht="144" x14ac:dyDescent="0.3">
      <c r="A76" s="331">
        <v>42</v>
      </c>
      <c r="B76" s="332" t="s">
        <v>56</v>
      </c>
      <c r="C76" s="332" t="s">
        <v>146</v>
      </c>
      <c r="D76" s="332" t="s">
        <v>147</v>
      </c>
      <c r="E76" s="332" t="s">
        <v>360</v>
      </c>
      <c r="F76" s="362">
        <v>45527</v>
      </c>
      <c r="G76" s="332" t="s">
        <v>361</v>
      </c>
      <c r="H76" s="333">
        <v>19000</v>
      </c>
      <c r="I76" s="334">
        <f>IF(X76 = 67, H76 + SUM(S76:S76) - SUM(T76:T76) - SUM(P76:P76) - V76,0)</f>
        <v>0</v>
      </c>
      <c r="J76" s="332" t="s">
        <v>362</v>
      </c>
      <c r="K76" s="332" t="s">
        <v>363</v>
      </c>
      <c r="L76" s="332" t="s">
        <v>146</v>
      </c>
      <c r="M76" s="332"/>
      <c r="N76" s="362">
        <v>45527</v>
      </c>
      <c r="O76" s="362" t="s">
        <v>194</v>
      </c>
      <c r="P76" s="333">
        <v>19000</v>
      </c>
      <c r="Q76" s="343">
        <v>45533</v>
      </c>
      <c r="R76" s="332"/>
      <c r="S76" s="333"/>
      <c r="T76" s="333"/>
      <c r="U76" s="333"/>
      <c r="V76" s="338"/>
      <c r="W76" s="339"/>
      <c r="X76" s="106">
        <v>67</v>
      </c>
    </row>
    <row r="77" spans="1:24" x14ac:dyDescent="0.3">
      <c r="A77" s="14"/>
      <c r="B77" s="108"/>
      <c r="C77" s="14"/>
      <c r="D77" s="14"/>
      <c r="E77" s="29"/>
      <c r="F77" s="14"/>
      <c r="G77" s="14"/>
      <c r="H77" s="15"/>
      <c r="I77" s="15"/>
      <c r="J77" s="14"/>
      <c r="K77" s="14"/>
      <c r="L77" s="14"/>
      <c r="M77" s="14"/>
      <c r="N77" s="29"/>
      <c r="O77" s="14"/>
      <c r="P77" s="104"/>
      <c r="Q77" s="29"/>
      <c r="R77" s="16"/>
      <c r="S77" s="16"/>
      <c r="T77" s="16"/>
      <c r="U77" s="29"/>
      <c r="V77" s="104"/>
      <c r="W77" s="16"/>
      <c r="X77" s="8">
        <v>68</v>
      </c>
    </row>
    <row r="78" spans="1:24" s="2" customFormat="1" x14ac:dyDescent="0.3">
      <c r="A78" s="41"/>
      <c r="B78" s="109"/>
      <c r="C78" s="41"/>
      <c r="D78" s="41"/>
      <c r="E78" s="42"/>
      <c r="F78" s="41"/>
      <c r="G78" s="41"/>
      <c r="H78" s="44"/>
      <c r="I78" s="44"/>
      <c r="J78" s="41"/>
      <c r="K78" s="41"/>
      <c r="L78" s="41"/>
      <c r="M78" s="41"/>
      <c r="N78" s="42"/>
      <c r="O78" s="41"/>
      <c r="P78" s="40"/>
      <c r="Q78" s="42"/>
      <c r="U78" s="42"/>
      <c r="V78" s="40"/>
    </row>
    <row r="79" spans="1:24" s="2" customFormat="1" x14ac:dyDescent="0.3">
      <c r="A79" s="41"/>
      <c r="B79" s="109"/>
      <c r="C79" s="41"/>
      <c r="D79" s="41"/>
      <c r="E79" s="42"/>
      <c r="F79" s="41"/>
      <c r="G79" s="41"/>
      <c r="H79" s="44"/>
      <c r="I79" s="44"/>
      <c r="J79" s="41"/>
      <c r="K79" s="41"/>
      <c r="L79" s="41"/>
      <c r="M79" s="41"/>
      <c r="N79" s="42"/>
      <c r="O79" s="41"/>
      <c r="P79" s="40"/>
      <c r="Q79" s="42"/>
      <c r="U79" s="42"/>
      <c r="V79" s="40"/>
    </row>
    <row r="80" spans="1:24" s="2" customFormat="1" x14ac:dyDescent="0.3">
      <c r="A80" s="41"/>
      <c r="B80" s="109"/>
      <c r="C80" s="41"/>
      <c r="D80" s="41"/>
      <c r="E80" s="42"/>
      <c r="F80" s="41"/>
      <c r="G80" s="41"/>
      <c r="H80" s="44"/>
      <c r="I80" s="44"/>
      <c r="J80" s="41"/>
      <c r="K80" s="41"/>
      <c r="L80" s="41"/>
      <c r="M80" s="41"/>
      <c r="N80" s="42"/>
      <c r="O80" s="41"/>
      <c r="P80" s="40"/>
      <c r="Q80" s="42"/>
      <c r="U80" s="42"/>
      <c r="V80" s="40"/>
    </row>
    <row r="81" spans="1:22" s="2" customFormat="1" x14ac:dyDescent="0.3">
      <c r="A81" s="41"/>
      <c r="B81" s="109"/>
      <c r="C81" s="41"/>
      <c r="D81" s="41"/>
      <c r="E81" s="42"/>
      <c r="F81" s="41"/>
      <c r="G81" s="41"/>
      <c r="H81" s="44"/>
      <c r="I81" s="44"/>
      <c r="J81" s="41"/>
      <c r="K81" s="41"/>
      <c r="L81" s="41"/>
      <c r="M81" s="41"/>
      <c r="N81" s="42"/>
      <c r="O81" s="41"/>
      <c r="P81" s="40"/>
      <c r="Q81" s="42"/>
      <c r="U81" s="42"/>
      <c r="V81" s="40"/>
    </row>
    <row r="82" spans="1:22" s="2" customFormat="1" x14ac:dyDescent="0.3">
      <c r="A82" s="41"/>
      <c r="B82" s="109"/>
      <c r="C82" s="41"/>
      <c r="D82" s="41"/>
      <c r="E82" s="42"/>
      <c r="F82" s="41"/>
      <c r="G82" s="41"/>
      <c r="H82" s="44"/>
      <c r="I82" s="44"/>
      <c r="J82" s="41"/>
      <c r="K82" s="41"/>
      <c r="L82" s="41"/>
      <c r="M82" s="41"/>
      <c r="N82" s="42"/>
      <c r="O82" s="41"/>
      <c r="P82" s="40"/>
      <c r="Q82" s="42"/>
      <c r="U82" s="42"/>
      <c r="V82" s="40"/>
    </row>
  </sheetData>
  <sheetProtection password="EB34" sheet="1" objects="1" scenarios="1" formatCells="0" formatColumns="0" formatRows="0"/>
  <mergeCells count="143">
    <mergeCell ref="J62:J63"/>
    <mergeCell ref="K62:K63"/>
    <mergeCell ref="L62:L63"/>
    <mergeCell ref="M62:M63"/>
    <mergeCell ref="A64:A65"/>
    <mergeCell ref="O64:O65"/>
    <mergeCell ref="U64:U65"/>
    <mergeCell ref="B64:B65"/>
    <mergeCell ref="V64:V65"/>
    <mergeCell ref="C64:C65"/>
    <mergeCell ref="W62:W63"/>
    <mergeCell ref="D62:D63"/>
    <mergeCell ref="E62:E63"/>
    <mergeCell ref="F62:F63"/>
    <mergeCell ref="G62:G63"/>
    <mergeCell ref="H62:H63"/>
    <mergeCell ref="I62:I63"/>
    <mergeCell ref="W64:W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A62:A63"/>
    <mergeCell ref="O62:O63"/>
    <mergeCell ref="U62:U63"/>
    <mergeCell ref="B62:B63"/>
    <mergeCell ref="V62:V63"/>
    <mergeCell ref="C62:C63"/>
    <mergeCell ref="W35:W36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A35:A36"/>
    <mergeCell ref="O35:O36"/>
    <mergeCell ref="U35:U36"/>
    <mergeCell ref="B35:B36"/>
    <mergeCell ref="V35:V36"/>
    <mergeCell ref="C35:C36"/>
    <mergeCell ref="A48:A51"/>
    <mergeCell ref="W48:W51"/>
    <mergeCell ref="D48:D51"/>
    <mergeCell ref="E48:E51"/>
    <mergeCell ref="F48:F51"/>
    <mergeCell ref="G48:G51"/>
    <mergeCell ref="H48:H51"/>
    <mergeCell ref="I48:I51"/>
    <mergeCell ref="J48:J51"/>
    <mergeCell ref="K48:K51"/>
    <mergeCell ref="L48:L51"/>
    <mergeCell ref="M48:M51"/>
    <mergeCell ref="O48:O51"/>
    <mergeCell ref="U48:U51"/>
    <mergeCell ref="W52:W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A52:A53"/>
    <mergeCell ref="O52:O53"/>
    <mergeCell ref="U52:U53"/>
    <mergeCell ref="B52:B53"/>
    <mergeCell ref="V52:V53"/>
    <mergeCell ref="C52:C53"/>
    <mergeCell ref="A37:A40"/>
    <mergeCell ref="O37:O40"/>
    <mergeCell ref="U37:U40"/>
    <mergeCell ref="B37:B40"/>
    <mergeCell ref="V37:V40"/>
    <mergeCell ref="C37:C40"/>
    <mergeCell ref="B48:B51"/>
    <mergeCell ref="V48:V51"/>
    <mergeCell ref="C48:C51"/>
    <mergeCell ref="A9:A16"/>
    <mergeCell ref="O9:O16"/>
    <mergeCell ref="U9:U16"/>
    <mergeCell ref="B9:B16"/>
    <mergeCell ref="V9:V16"/>
    <mergeCell ref="C9:C16"/>
    <mergeCell ref="S2:U2"/>
    <mergeCell ref="N2:O2"/>
    <mergeCell ref="J4:K4"/>
    <mergeCell ref="M4:N4"/>
    <mergeCell ref="O4:P4"/>
    <mergeCell ref="K2:M2"/>
    <mergeCell ref="A3:E3"/>
    <mergeCell ref="A17:A26"/>
    <mergeCell ref="O17:O26"/>
    <mergeCell ref="U17:U26"/>
    <mergeCell ref="B17:B26"/>
    <mergeCell ref="V17:V26"/>
    <mergeCell ref="C17:C26"/>
    <mergeCell ref="W17:W26"/>
    <mergeCell ref="D17:D26"/>
    <mergeCell ref="E17:E26"/>
    <mergeCell ref="F17:F26"/>
    <mergeCell ref="G17:G26"/>
    <mergeCell ref="H17:H26"/>
    <mergeCell ref="I17:I26"/>
    <mergeCell ref="J17:J26"/>
    <mergeCell ref="K17:K26"/>
    <mergeCell ref="L17:L26"/>
    <mergeCell ref="M17:M26"/>
    <mergeCell ref="W37:W40"/>
    <mergeCell ref="D37:D40"/>
    <mergeCell ref="E37:E40"/>
    <mergeCell ref="F37:F40"/>
    <mergeCell ref="G37:G40"/>
    <mergeCell ref="H37:H40"/>
    <mergeCell ref="I37:I40"/>
    <mergeCell ref="J37:J40"/>
    <mergeCell ref="K37:K40"/>
    <mergeCell ref="L37:L40"/>
    <mergeCell ref="M37:M40"/>
    <mergeCell ref="W9:W16"/>
    <mergeCell ref="D9:D16"/>
    <mergeCell ref="E9:E16"/>
    <mergeCell ref="F9:F16"/>
    <mergeCell ref="G9:G16"/>
    <mergeCell ref="H9:H16"/>
    <mergeCell ref="I9:I16"/>
    <mergeCell ref="J9:J16"/>
    <mergeCell ref="K9:K16"/>
    <mergeCell ref="L9:L16"/>
    <mergeCell ref="M9:M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195"/>
  <sheetViews>
    <sheetView showGridLines="0" topLeftCell="E1" zoomScale="70" zoomScaleNormal="70" workbookViewId="0">
      <pane ySplit="8" topLeftCell="A189" activePane="bottomLeft" state="frozen"/>
      <selection pane="bottomLeft" activeCell="N191" sqref="N191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27.44140625" style="12" customWidth="1"/>
    <col min="8" max="8" width="38.44140625" style="3" bestFit="1" customWidth="1"/>
    <col min="9" max="9" width="33" style="3" customWidth="1"/>
    <col min="10" max="11" width="27.33203125" style="32" customWidth="1"/>
    <col min="12" max="12" width="21.44140625" style="3" customWidth="1"/>
    <col min="13" max="13" width="26.5546875" style="3" customWidth="1"/>
    <col min="14" max="14" width="28.109375" style="12" customWidth="1"/>
    <col min="15" max="15" width="39.33203125" style="3" customWidth="1"/>
    <col min="16" max="16" width="24.6640625" style="32" customWidth="1"/>
    <col min="17" max="17" width="24.44140625" style="12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2" customWidth="1"/>
    <col min="22" max="22" width="24" style="11" customWidth="1"/>
    <col min="23" max="23" width="21.8867187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E2" s="86"/>
      <c r="F2" s="503" t="s">
        <v>24</v>
      </c>
      <c r="G2" s="504"/>
      <c r="H2" s="98">
        <f>SUM(H9:H10001)</f>
        <v>3111442.72</v>
      </c>
      <c r="I2" s="86"/>
      <c r="J2" s="39"/>
      <c r="N2" s="437" t="s">
        <v>137</v>
      </c>
      <c r="O2" s="439"/>
      <c r="P2" s="87">
        <f>SUM(P9:P10001)</f>
        <v>2411819.0700000003</v>
      </c>
      <c r="R2" s="86"/>
      <c r="S2" s="437" t="s">
        <v>45</v>
      </c>
      <c r="T2" s="438"/>
      <c r="U2" s="439"/>
      <c r="V2" s="88">
        <f>SUM(V9:V10001)</f>
        <v>240058.2</v>
      </c>
    </row>
    <row r="3" spans="1:24" x14ac:dyDescent="0.3">
      <c r="F3" s="38"/>
      <c r="G3" s="38"/>
      <c r="H3" s="38"/>
      <c r="I3" s="38"/>
      <c r="J3" s="39"/>
      <c r="K3" s="40"/>
      <c r="L3" s="41"/>
      <c r="M3" s="41"/>
      <c r="N3" s="38"/>
      <c r="O3" s="38"/>
      <c r="P3" s="39"/>
      <c r="Q3" s="42"/>
      <c r="R3" s="38"/>
      <c r="S3" s="38"/>
      <c r="T3" s="38"/>
      <c r="U3" s="38"/>
      <c r="V3" s="43"/>
    </row>
    <row r="4" spans="1:24" ht="39.9" customHeight="1" x14ac:dyDescent="0.3">
      <c r="F4" s="38"/>
      <c r="G4" s="38"/>
      <c r="H4" s="38"/>
      <c r="I4" s="38"/>
      <c r="J4" s="39"/>
      <c r="K4" s="40"/>
      <c r="L4" s="41"/>
      <c r="M4" s="41"/>
      <c r="N4" s="38"/>
      <c r="O4" s="38"/>
      <c r="P4" s="39"/>
      <c r="Q4" s="42"/>
      <c r="R4" s="38"/>
      <c r="S4" s="38"/>
      <c r="T4" s="38"/>
      <c r="U4" s="38"/>
      <c r="V4" s="43"/>
    </row>
    <row r="6" spans="1:24" ht="144" x14ac:dyDescent="0.3">
      <c r="A6" s="23" t="s">
        <v>8</v>
      </c>
      <c r="B6" s="23" t="s">
        <v>47</v>
      </c>
      <c r="C6" s="23" t="s">
        <v>145</v>
      </c>
      <c r="D6" s="23" t="s">
        <v>10</v>
      </c>
      <c r="E6" s="23" t="s">
        <v>1</v>
      </c>
      <c r="F6" s="23" t="s">
        <v>2</v>
      </c>
      <c r="G6" s="30" t="s">
        <v>3</v>
      </c>
      <c r="H6" s="23" t="s">
        <v>4</v>
      </c>
      <c r="I6" s="23" t="s">
        <v>22</v>
      </c>
      <c r="J6" s="33" t="s">
        <v>46</v>
      </c>
      <c r="K6" s="33" t="s">
        <v>5</v>
      </c>
      <c r="L6" s="23" t="s">
        <v>106</v>
      </c>
      <c r="M6" s="23" t="s">
        <v>39</v>
      </c>
      <c r="N6" s="30" t="s">
        <v>37</v>
      </c>
      <c r="O6" s="23" t="s">
        <v>6</v>
      </c>
      <c r="P6" s="33" t="s">
        <v>23</v>
      </c>
      <c r="Q6" s="30" t="s">
        <v>9</v>
      </c>
      <c r="R6" s="28" t="s">
        <v>40</v>
      </c>
      <c r="S6" s="28" t="s">
        <v>103</v>
      </c>
      <c r="T6" s="28" t="s">
        <v>104</v>
      </c>
      <c r="U6" s="27" t="s">
        <v>41</v>
      </c>
      <c r="V6" s="31" t="s">
        <v>43</v>
      </c>
      <c r="W6" s="1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8" customFormat="1" ht="108" hidden="1" x14ac:dyDescent="0.3">
      <c r="A8" s="26" t="s">
        <v>36</v>
      </c>
      <c r="B8" s="26" t="s">
        <v>56</v>
      </c>
      <c r="C8" s="26"/>
      <c r="D8" s="26" t="s">
        <v>58</v>
      </c>
      <c r="E8" s="26" t="s">
        <v>57</v>
      </c>
      <c r="F8" s="77">
        <v>43839</v>
      </c>
      <c r="G8" s="25" t="s">
        <v>59</v>
      </c>
      <c r="H8" s="24">
        <v>20000</v>
      </c>
      <c r="I8" s="24">
        <v>0</v>
      </c>
      <c r="J8" s="76">
        <v>2353019514</v>
      </c>
      <c r="K8" s="34" t="s">
        <v>61</v>
      </c>
      <c r="L8" s="26"/>
      <c r="M8" s="26" t="s">
        <v>62</v>
      </c>
      <c r="N8" s="25">
        <v>43840</v>
      </c>
      <c r="O8" s="26" t="s">
        <v>63</v>
      </c>
      <c r="P8" s="34">
        <v>20000</v>
      </c>
      <c r="Q8" s="25">
        <v>43840</v>
      </c>
      <c r="R8" s="26"/>
      <c r="S8" s="72"/>
      <c r="T8" s="72"/>
      <c r="U8" s="25"/>
      <c r="V8" s="24"/>
      <c r="W8" s="13" t="s">
        <v>64</v>
      </c>
    </row>
    <row r="9" spans="1:24" s="107" customFormat="1" ht="108" customHeight="1" x14ac:dyDescent="0.3">
      <c r="A9" s="497">
        <v>1</v>
      </c>
      <c r="B9" s="489" t="s">
        <v>56</v>
      </c>
      <c r="C9" s="489" t="s">
        <v>146</v>
      </c>
      <c r="D9" s="489" t="s">
        <v>147</v>
      </c>
      <c r="E9" s="489" t="s">
        <v>110</v>
      </c>
      <c r="F9" s="491">
        <v>45289</v>
      </c>
      <c r="G9" s="493" t="s">
        <v>164</v>
      </c>
      <c r="H9" s="495">
        <v>316800</v>
      </c>
      <c r="I9" s="535">
        <f>IF(X9 = 18, H9 + SUM(S9:S10) - SUM(T9:T10) - SUM(P9:P10) - V9,0)</f>
        <v>0</v>
      </c>
      <c r="J9" s="537">
        <v>2311299612</v>
      </c>
      <c r="K9" s="539" t="s">
        <v>193</v>
      </c>
      <c r="L9" s="489" t="s">
        <v>146</v>
      </c>
      <c r="M9" s="489"/>
      <c r="N9" s="157">
        <v>45322</v>
      </c>
      <c r="O9" s="491" t="s">
        <v>194</v>
      </c>
      <c r="P9" s="151">
        <v>95254.25</v>
      </c>
      <c r="Q9" s="152">
        <v>45330</v>
      </c>
      <c r="R9" s="153"/>
      <c r="S9" s="151"/>
      <c r="T9" s="151"/>
      <c r="U9" s="491">
        <v>45366</v>
      </c>
      <c r="V9" s="541">
        <v>121670</v>
      </c>
      <c r="W9" s="547"/>
      <c r="X9" s="107">
        <v>18</v>
      </c>
    </row>
    <row r="10" spans="1:24" s="2" customFormat="1" x14ac:dyDescent="0.3">
      <c r="A10" s="498"/>
      <c r="B10" s="490"/>
      <c r="C10" s="490"/>
      <c r="D10" s="490"/>
      <c r="E10" s="490"/>
      <c r="F10" s="492"/>
      <c r="G10" s="494"/>
      <c r="H10" s="496"/>
      <c r="I10" s="536"/>
      <c r="J10" s="538"/>
      <c r="K10" s="540"/>
      <c r="L10" s="490"/>
      <c r="M10" s="490"/>
      <c r="N10" s="158">
        <v>45351</v>
      </c>
      <c r="O10" s="492"/>
      <c r="P10" s="154">
        <v>99875.75</v>
      </c>
      <c r="Q10" s="155">
        <v>45357</v>
      </c>
      <c r="R10" s="156"/>
      <c r="S10" s="154"/>
      <c r="T10" s="154"/>
      <c r="U10" s="492"/>
      <c r="V10" s="542"/>
      <c r="W10" s="548"/>
      <c r="X10" s="2">
        <v>18</v>
      </c>
    </row>
    <row r="11" spans="1:24" s="107" customFormat="1" ht="36" customHeight="1" x14ac:dyDescent="0.3">
      <c r="A11" s="431">
        <v>2</v>
      </c>
      <c r="B11" s="416" t="s">
        <v>56</v>
      </c>
      <c r="C11" s="416" t="s">
        <v>146</v>
      </c>
      <c r="D11" s="416" t="s">
        <v>147</v>
      </c>
      <c r="E11" s="416" t="s">
        <v>113</v>
      </c>
      <c r="F11" s="422">
        <v>45289</v>
      </c>
      <c r="G11" s="486" t="s">
        <v>166</v>
      </c>
      <c r="H11" s="425">
        <v>38000</v>
      </c>
      <c r="I11" s="428">
        <f>IF(X11 = 19, H11 + SUM(S11:S18) - SUM(T11:T18) - SUM(P11:P18) - V11,0)</f>
        <v>16776.78</v>
      </c>
      <c r="J11" s="477">
        <v>2353246210</v>
      </c>
      <c r="K11" s="480" t="s">
        <v>150</v>
      </c>
      <c r="L11" s="416" t="s">
        <v>146</v>
      </c>
      <c r="M11" s="416"/>
      <c r="N11" s="357">
        <v>45308</v>
      </c>
      <c r="O11" s="422" t="s">
        <v>167</v>
      </c>
      <c r="P11" s="348">
        <v>1314.6</v>
      </c>
      <c r="Q11" s="349">
        <v>45324</v>
      </c>
      <c r="R11" s="350"/>
      <c r="S11" s="348"/>
      <c r="T11" s="348"/>
      <c r="U11" s="425"/>
      <c r="V11" s="483"/>
      <c r="W11" s="413"/>
      <c r="X11" s="107">
        <v>19</v>
      </c>
    </row>
    <row r="12" spans="1:24" s="2" customFormat="1" x14ac:dyDescent="0.3">
      <c r="A12" s="432"/>
      <c r="B12" s="417"/>
      <c r="C12" s="417"/>
      <c r="D12" s="417"/>
      <c r="E12" s="417"/>
      <c r="F12" s="423"/>
      <c r="G12" s="487"/>
      <c r="H12" s="426"/>
      <c r="I12" s="429"/>
      <c r="J12" s="478"/>
      <c r="K12" s="481"/>
      <c r="L12" s="417"/>
      <c r="M12" s="417"/>
      <c r="N12" s="358">
        <v>45337</v>
      </c>
      <c r="O12" s="423"/>
      <c r="P12" s="351">
        <v>2741.88</v>
      </c>
      <c r="Q12" s="352">
        <v>45349</v>
      </c>
      <c r="R12" s="353"/>
      <c r="S12" s="351"/>
      <c r="T12" s="351"/>
      <c r="U12" s="426"/>
      <c r="V12" s="484"/>
      <c r="W12" s="414"/>
      <c r="X12" s="2">
        <v>19</v>
      </c>
    </row>
    <row r="13" spans="1:24" s="2" customFormat="1" x14ac:dyDescent="0.3">
      <c r="A13" s="432"/>
      <c r="B13" s="417"/>
      <c r="C13" s="417"/>
      <c r="D13" s="417"/>
      <c r="E13" s="417"/>
      <c r="F13" s="423"/>
      <c r="G13" s="487"/>
      <c r="H13" s="426"/>
      <c r="I13" s="429"/>
      <c r="J13" s="478"/>
      <c r="K13" s="481"/>
      <c r="L13" s="417"/>
      <c r="M13" s="417"/>
      <c r="N13" s="358">
        <v>45365</v>
      </c>
      <c r="O13" s="423"/>
      <c r="P13" s="351">
        <v>2253.6</v>
      </c>
      <c r="Q13" s="352">
        <v>45366</v>
      </c>
      <c r="R13" s="353"/>
      <c r="S13" s="351"/>
      <c r="T13" s="351"/>
      <c r="U13" s="426"/>
      <c r="V13" s="484"/>
      <c r="W13" s="414"/>
      <c r="X13" s="2">
        <v>19</v>
      </c>
    </row>
    <row r="14" spans="1:24" s="2" customFormat="1" x14ac:dyDescent="0.3">
      <c r="A14" s="432"/>
      <c r="B14" s="417"/>
      <c r="C14" s="417"/>
      <c r="D14" s="417"/>
      <c r="E14" s="417"/>
      <c r="F14" s="423"/>
      <c r="G14" s="487"/>
      <c r="H14" s="426"/>
      <c r="I14" s="429"/>
      <c r="J14" s="478"/>
      <c r="K14" s="481"/>
      <c r="L14" s="417"/>
      <c r="M14" s="417"/>
      <c r="N14" s="358">
        <v>45400</v>
      </c>
      <c r="O14" s="423"/>
      <c r="P14" s="351">
        <v>4056.48</v>
      </c>
      <c r="Q14" s="352">
        <v>45406</v>
      </c>
      <c r="R14" s="353"/>
      <c r="S14" s="351"/>
      <c r="T14" s="351"/>
      <c r="U14" s="426"/>
      <c r="V14" s="484"/>
      <c r="W14" s="414"/>
      <c r="X14" s="2">
        <v>19</v>
      </c>
    </row>
    <row r="15" spans="1:24" s="2" customFormat="1" x14ac:dyDescent="0.3">
      <c r="A15" s="432"/>
      <c r="B15" s="417"/>
      <c r="C15" s="417"/>
      <c r="D15" s="417"/>
      <c r="E15" s="417"/>
      <c r="F15" s="423"/>
      <c r="G15" s="487"/>
      <c r="H15" s="426"/>
      <c r="I15" s="429"/>
      <c r="J15" s="478"/>
      <c r="K15" s="481"/>
      <c r="L15" s="417"/>
      <c r="M15" s="417"/>
      <c r="N15" s="358">
        <v>45429</v>
      </c>
      <c r="O15" s="423"/>
      <c r="P15" s="351">
        <v>3868.68</v>
      </c>
      <c r="Q15" s="352">
        <v>45440</v>
      </c>
      <c r="R15" s="353"/>
      <c r="S15" s="351"/>
      <c r="T15" s="351"/>
      <c r="U15" s="426"/>
      <c r="V15" s="484"/>
      <c r="W15" s="414"/>
      <c r="X15" s="2">
        <v>19</v>
      </c>
    </row>
    <row r="16" spans="1:24" s="2" customFormat="1" x14ac:dyDescent="0.3">
      <c r="A16" s="432"/>
      <c r="B16" s="417"/>
      <c r="C16" s="417"/>
      <c r="D16" s="417"/>
      <c r="E16" s="417"/>
      <c r="F16" s="423"/>
      <c r="G16" s="487"/>
      <c r="H16" s="426"/>
      <c r="I16" s="429"/>
      <c r="J16" s="478"/>
      <c r="K16" s="481"/>
      <c r="L16" s="417"/>
      <c r="M16" s="417"/>
      <c r="N16" s="358">
        <v>45461</v>
      </c>
      <c r="O16" s="423"/>
      <c r="P16" s="351">
        <v>3605.76</v>
      </c>
      <c r="Q16" s="352">
        <v>45470</v>
      </c>
      <c r="R16" s="353"/>
      <c r="S16" s="351"/>
      <c r="T16" s="351"/>
      <c r="U16" s="426"/>
      <c r="V16" s="484"/>
      <c r="W16" s="414"/>
      <c r="X16" s="2">
        <v>19</v>
      </c>
    </row>
    <row r="17" spans="1:24" s="2" customFormat="1" x14ac:dyDescent="0.3">
      <c r="A17" s="432"/>
      <c r="B17" s="417"/>
      <c r="C17" s="417"/>
      <c r="D17" s="417"/>
      <c r="E17" s="417"/>
      <c r="F17" s="423"/>
      <c r="G17" s="487"/>
      <c r="H17" s="426"/>
      <c r="I17" s="429"/>
      <c r="J17" s="478"/>
      <c r="K17" s="481"/>
      <c r="L17" s="417"/>
      <c r="M17" s="417"/>
      <c r="N17" s="358">
        <v>45489</v>
      </c>
      <c r="O17" s="423"/>
      <c r="P17" s="351">
        <v>2764.64</v>
      </c>
      <c r="Q17" s="352">
        <v>45512</v>
      </c>
      <c r="R17" s="353"/>
      <c r="S17" s="351"/>
      <c r="T17" s="351"/>
      <c r="U17" s="426"/>
      <c r="V17" s="484"/>
      <c r="W17" s="414"/>
      <c r="X17" s="2">
        <v>19</v>
      </c>
    </row>
    <row r="18" spans="1:24" s="2" customFormat="1" x14ac:dyDescent="0.3">
      <c r="A18" s="433"/>
      <c r="B18" s="418"/>
      <c r="C18" s="418"/>
      <c r="D18" s="418"/>
      <c r="E18" s="418"/>
      <c r="F18" s="424"/>
      <c r="G18" s="488"/>
      <c r="H18" s="427"/>
      <c r="I18" s="430"/>
      <c r="J18" s="479"/>
      <c r="K18" s="482"/>
      <c r="L18" s="418"/>
      <c r="M18" s="418"/>
      <c r="N18" s="359">
        <v>45525</v>
      </c>
      <c r="O18" s="424"/>
      <c r="P18" s="354">
        <v>617.58000000000004</v>
      </c>
      <c r="Q18" s="355">
        <v>45530</v>
      </c>
      <c r="R18" s="356"/>
      <c r="S18" s="354"/>
      <c r="T18" s="354"/>
      <c r="U18" s="427"/>
      <c r="V18" s="485"/>
      <c r="W18" s="415"/>
      <c r="X18" s="2">
        <v>19</v>
      </c>
    </row>
    <row r="19" spans="1:24" s="107" customFormat="1" ht="37.5" customHeight="1" x14ac:dyDescent="0.3">
      <c r="A19" s="431">
        <v>3</v>
      </c>
      <c r="B19" s="416" t="s">
        <v>56</v>
      </c>
      <c r="C19" s="416" t="s">
        <v>146</v>
      </c>
      <c r="D19" s="416" t="s">
        <v>171</v>
      </c>
      <c r="E19" s="416" t="s">
        <v>172</v>
      </c>
      <c r="F19" s="422">
        <v>45289</v>
      </c>
      <c r="G19" s="486" t="s">
        <v>168</v>
      </c>
      <c r="H19" s="425">
        <v>378918.36</v>
      </c>
      <c r="I19" s="428">
        <f>IF(X19 = 20, H19 + SUM(S19:S40) - SUM(T19:T40) - SUM(P19:P40) - V19,0)</f>
        <v>76886.550000000047</v>
      </c>
      <c r="J19" s="477">
        <v>2308119595</v>
      </c>
      <c r="K19" s="480" t="s">
        <v>149</v>
      </c>
      <c r="L19" s="416" t="s">
        <v>146</v>
      </c>
      <c r="M19" s="416"/>
      <c r="N19" s="357">
        <v>45292</v>
      </c>
      <c r="O19" s="422" t="s">
        <v>169</v>
      </c>
      <c r="P19" s="348">
        <v>14788.98</v>
      </c>
      <c r="Q19" s="349">
        <v>45309</v>
      </c>
      <c r="R19" s="350"/>
      <c r="S19" s="348"/>
      <c r="T19" s="348"/>
      <c r="U19" s="425"/>
      <c r="V19" s="483"/>
      <c r="W19" s="413"/>
      <c r="X19" s="107">
        <v>20</v>
      </c>
    </row>
    <row r="20" spans="1:24" s="2" customFormat="1" x14ac:dyDescent="0.3">
      <c r="A20" s="432"/>
      <c r="B20" s="417"/>
      <c r="C20" s="417"/>
      <c r="D20" s="417"/>
      <c r="E20" s="417"/>
      <c r="F20" s="423"/>
      <c r="G20" s="487"/>
      <c r="H20" s="426"/>
      <c r="I20" s="429"/>
      <c r="J20" s="478"/>
      <c r="K20" s="481"/>
      <c r="L20" s="417"/>
      <c r="M20" s="417"/>
      <c r="N20" s="358">
        <v>45323</v>
      </c>
      <c r="O20" s="423"/>
      <c r="P20" s="351">
        <v>11091.73</v>
      </c>
      <c r="Q20" s="352">
        <v>45323</v>
      </c>
      <c r="R20" s="353"/>
      <c r="S20" s="351"/>
      <c r="T20" s="351"/>
      <c r="U20" s="426"/>
      <c r="V20" s="484"/>
      <c r="W20" s="414"/>
      <c r="X20" s="2">
        <v>20</v>
      </c>
    </row>
    <row r="21" spans="1:24" s="2" customFormat="1" x14ac:dyDescent="0.3">
      <c r="A21" s="432"/>
      <c r="B21" s="417"/>
      <c r="C21" s="417"/>
      <c r="D21" s="417"/>
      <c r="E21" s="417"/>
      <c r="F21" s="423"/>
      <c r="G21" s="487"/>
      <c r="H21" s="426"/>
      <c r="I21" s="429"/>
      <c r="J21" s="478"/>
      <c r="K21" s="481"/>
      <c r="L21" s="417"/>
      <c r="M21" s="417"/>
      <c r="N21" s="358">
        <v>45322</v>
      </c>
      <c r="O21" s="423"/>
      <c r="P21" s="351">
        <v>24763.91</v>
      </c>
      <c r="Q21" s="352">
        <v>45337</v>
      </c>
      <c r="R21" s="353"/>
      <c r="S21" s="351"/>
      <c r="T21" s="351"/>
      <c r="U21" s="426"/>
      <c r="V21" s="484"/>
      <c r="W21" s="414"/>
      <c r="X21" s="2">
        <v>20</v>
      </c>
    </row>
    <row r="22" spans="1:24" s="2" customFormat="1" x14ac:dyDescent="0.3">
      <c r="A22" s="432"/>
      <c r="B22" s="417"/>
      <c r="C22" s="417"/>
      <c r="D22" s="417"/>
      <c r="E22" s="417"/>
      <c r="F22" s="423"/>
      <c r="G22" s="487"/>
      <c r="H22" s="426"/>
      <c r="I22" s="429"/>
      <c r="J22" s="478"/>
      <c r="K22" s="481"/>
      <c r="L22" s="417"/>
      <c r="M22" s="417"/>
      <c r="N22" s="358">
        <v>45323</v>
      </c>
      <c r="O22" s="423"/>
      <c r="P22" s="351">
        <v>23574.47</v>
      </c>
      <c r="Q22" s="352">
        <v>45337</v>
      </c>
      <c r="R22" s="353"/>
      <c r="S22" s="351"/>
      <c r="T22" s="351"/>
      <c r="U22" s="426"/>
      <c r="V22" s="484"/>
      <c r="W22" s="414"/>
      <c r="X22" s="2">
        <v>20</v>
      </c>
    </row>
    <row r="23" spans="1:24" s="2" customFormat="1" x14ac:dyDescent="0.3">
      <c r="A23" s="432"/>
      <c r="B23" s="417"/>
      <c r="C23" s="417"/>
      <c r="D23" s="417"/>
      <c r="E23" s="417"/>
      <c r="F23" s="423"/>
      <c r="G23" s="487"/>
      <c r="H23" s="426"/>
      <c r="I23" s="429"/>
      <c r="J23" s="478"/>
      <c r="K23" s="481"/>
      <c r="L23" s="417"/>
      <c r="M23" s="417"/>
      <c r="N23" s="358">
        <v>45352</v>
      </c>
      <c r="O23" s="423"/>
      <c r="P23" s="351">
        <v>17677.57</v>
      </c>
      <c r="Q23" s="352">
        <v>45352</v>
      </c>
      <c r="R23" s="353"/>
      <c r="S23" s="351"/>
      <c r="T23" s="351"/>
      <c r="U23" s="426"/>
      <c r="V23" s="484"/>
      <c r="W23" s="414"/>
      <c r="X23" s="2">
        <v>20</v>
      </c>
    </row>
    <row r="24" spans="1:24" s="2" customFormat="1" x14ac:dyDescent="0.3">
      <c r="A24" s="432"/>
      <c r="B24" s="417"/>
      <c r="C24" s="417"/>
      <c r="D24" s="417"/>
      <c r="E24" s="417"/>
      <c r="F24" s="423"/>
      <c r="G24" s="487"/>
      <c r="H24" s="426"/>
      <c r="I24" s="429"/>
      <c r="J24" s="478"/>
      <c r="K24" s="481"/>
      <c r="L24" s="417"/>
      <c r="M24" s="417"/>
      <c r="N24" s="358">
        <v>45351</v>
      </c>
      <c r="O24" s="423"/>
      <c r="P24" s="351">
        <v>23828.47</v>
      </c>
      <c r="Q24" s="352">
        <v>45365</v>
      </c>
      <c r="R24" s="353"/>
      <c r="S24" s="351"/>
      <c r="T24" s="351"/>
      <c r="U24" s="426"/>
      <c r="V24" s="484"/>
      <c r="W24" s="414"/>
      <c r="X24" s="2">
        <v>20</v>
      </c>
    </row>
    <row r="25" spans="1:24" s="2" customFormat="1" x14ac:dyDescent="0.3">
      <c r="A25" s="432"/>
      <c r="B25" s="417"/>
      <c r="C25" s="417"/>
      <c r="D25" s="417"/>
      <c r="E25" s="417"/>
      <c r="F25" s="423"/>
      <c r="G25" s="487"/>
      <c r="H25" s="426"/>
      <c r="I25" s="429"/>
      <c r="J25" s="478"/>
      <c r="K25" s="481"/>
      <c r="L25" s="417"/>
      <c r="M25" s="417"/>
      <c r="N25" s="358">
        <v>45352</v>
      </c>
      <c r="O25" s="423"/>
      <c r="P25" s="351">
        <v>25693.51</v>
      </c>
      <c r="Q25" s="352">
        <v>45365</v>
      </c>
      <c r="R25" s="353"/>
      <c r="S25" s="351"/>
      <c r="T25" s="351"/>
      <c r="U25" s="426"/>
      <c r="V25" s="484"/>
      <c r="W25" s="414"/>
      <c r="X25" s="2">
        <v>20</v>
      </c>
    </row>
    <row r="26" spans="1:24" s="2" customFormat="1" x14ac:dyDescent="0.3">
      <c r="A26" s="432"/>
      <c r="B26" s="417"/>
      <c r="C26" s="417"/>
      <c r="D26" s="417"/>
      <c r="E26" s="417"/>
      <c r="F26" s="423"/>
      <c r="G26" s="487"/>
      <c r="H26" s="426"/>
      <c r="I26" s="429"/>
      <c r="J26" s="478"/>
      <c r="K26" s="481"/>
      <c r="L26" s="417"/>
      <c r="M26" s="417"/>
      <c r="N26" s="358">
        <v>45383</v>
      </c>
      <c r="O26" s="423"/>
      <c r="P26" s="351">
        <v>19266.78</v>
      </c>
      <c r="Q26" s="352">
        <v>45383</v>
      </c>
      <c r="R26" s="353"/>
      <c r="S26" s="351"/>
      <c r="T26" s="351"/>
      <c r="U26" s="426"/>
      <c r="V26" s="484"/>
      <c r="W26" s="414"/>
      <c r="X26" s="2">
        <v>20</v>
      </c>
    </row>
    <row r="27" spans="1:24" s="2" customFormat="1" x14ac:dyDescent="0.3">
      <c r="A27" s="432"/>
      <c r="B27" s="417"/>
      <c r="C27" s="417"/>
      <c r="D27" s="417"/>
      <c r="E27" s="417"/>
      <c r="F27" s="423"/>
      <c r="G27" s="487"/>
      <c r="H27" s="426"/>
      <c r="I27" s="429"/>
      <c r="J27" s="478"/>
      <c r="K27" s="481"/>
      <c r="L27" s="417"/>
      <c r="M27" s="417"/>
      <c r="N27" s="358">
        <v>45382</v>
      </c>
      <c r="O27" s="423"/>
      <c r="P27" s="351">
        <v>7373.75</v>
      </c>
      <c r="Q27" s="352">
        <v>45399</v>
      </c>
      <c r="R27" s="353"/>
      <c r="S27" s="351"/>
      <c r="T27" s="351"/>
      <c r="U27" s="426"/>
      <c r="V27" s="484"/>
      <c r="W27" s="414"/>
      <c r="X27" s="2">
        <v>20</v>
      </c>
    </row>
    <row r="28" spans="1:24" s="2" customFormat="1" x14ac:dyDescent="0.3">
      <c r="A28" s="432"/>
      <c r="B28" s="417"/>
      <c r="C28" s="417"/>
      <c r="D28" s="417"/>
      <c r="E28" s="417"/>
      <c r="F28" s="423"/>
      <c r="G28" s="487"/>
      <c r="H28" s="426"/>
      <c r="I28" s="429"/>
      <c r="J28" s="478"/>
      <c r="K28" s="481"/>
      <c r="L28" s="417"/>
      <c r="M28" s="417"/>
      <c r="N28" s="358">
        <v>45383</v>
      </c>
      <c r="O28" s="423"/>
      <c r="P28" s="351">
        <v>22360.69</v>
      </c>
      <c r="Q28" s="352">
        <v>45399</v>
      </c>
      <c r="R28" s="353"/>
      <c r="S28" s="351"/>
      <c r="T28" s="351"/>
      <c r="U28" s="426"/>
      <c r="V28" s="484"/>
      <c r="W28" s="414"/>
      <c r="X28" s="2">
        <v>20</v>
      </c>
    </row>
    <row r="29" spans="1:24" s="2" customFormat="1" x14ac:dyDescent="0.3">
      <c r="A29" s="432"/>
      <c r="B29" s="417"/>
      <c r="C29" s="417"/>
      <c r="D29" s="417"/>
      <c r="E29" s="417"/>
      <c r="F29" s="423"/>
      <c r="G29" s="487"/>
      <c r="H29" s="426"/>
      <c r="I29" s="429"/>
      <c r="J29" s="478"/>
      <c r="K29" s="481"/>
      <c r="L29" s="417"/>
      <c r="M29" s="417"/>
      <c r="N29" s="358">
        <v>45413</v>
      </c>
      <c r="O29" s="423"/>
      <c r="P29" s="351">
        <v>16773.78</v>
      </c>
      <c r="Q29" s="352">
        <v>45415</v>
      </c>
      <c r="R29" s="353"/>
      <c r="S29" s="351"/>
      <c r="T29" s="351"/>
      <c r="U29" s="426"/>
      <c r="V29" s="484"/>
      <c r="W29" s="414"/>
      <c r="X29" s="2">
        <v>20</v>
      </c>
    </row>
    <row r="30" spans="1:24" s="2" customFormat="1" x14ac:dyDescent="0.3">
      <c r="A30" s="432"/>
      <c r="B30" s="417"/>
      <c r="C30" s="417"/>
      <c r="D30" s="417"/>
      <c r="E30" s="417"/>
      <c r="F30" s="423"/>
      <c r="G30" s="487"/>
      <c r="H30" s="426"/>
      <c r="I30" s="429"/>
      <c r="J30" s="478"/>
      <c r="K30" s="481"/>
      <c r="L30" s="417"/>
      <c r="M30" s="417"/>
      <c r="N30" s="358">
        <v>45412</v>
      </c>
      <c r="O30" s="423"/>
      <c r="P30" s="351">
        <v>1878.36</v>
      </c>
      <c r="Q30" s="352">
        <v>45427</v>
      </c>
      <c r="R30" s="353"/>
      <c r="S30" s="351"/>
      <c r="T30" s="351"/>
      <c r="U30" s="426"/>
      <c r="V30" s="484"/>
      <c r="W30" s="414"/>
      <c r="X30" s="2">
        <v>20</v>
      </c>
    </row>
    <row r="31" spans="1:24" s="2" customFormat="1" x14ac:dyDescent="0.3">
      <c r="A31" s="432"/>
      <c r="B31" s="417"/>
      <c r="C31" s="417"/>
      <c r="D31" s="417"/>
      <c r="E31" s="417"/>
      <c r="F31" s="423"/>
      <c r="G31" s="487"/>
      <c r="H31" s="426"/>
      <c r="I31" s="429"/>
      <c r="J31" s="478"/>
      <c r="K31" s="481"/>
      <c r="L31" s="417"/>
      <c r="M31" s="417"/>
      <c r="N31" s="358">
        <v>45413</v>
      </c>
      <c r="O31" s="423"/>
      <c r="P31" s="351">
        <v>19135.13</v>
      </c>
      <c r="Q31" s="352">
        <v>45427</v>
      </c>
      <c r="R31" s="353"/>
      <c r="S31" s="351"/>
      <c r="T31" s="351"/>
      <c r="U31" s="426"/>
      <c r="V31" s="484"/>
      <c r="W31" s="414"/>
      <c r="X31" s="2">
        <v>20</v>
      </c>
    </row>
    <row r="32" spans="1:24" s="2" customFormat="1" x14ac:dyDescent="0.3">
      <c r="A32" s="432"/>
      <c r="B32" s="417"/>
      <c r="C32" s="417"/>
      <c r="D32" s="417"/>
      <c r="E32" s="417"/>
      <c r="F32" s="423"/>
      <c r="G32" s="487"/>
      <c r="H32" s="426"/>
      <c r="I32" s="429"/>
      <c r="J32" s="478"/>
      <c r="K32" s="481"/>
      <c r="L32" s="417"/>
      <c r="M32" s="417"/>
      <c r="N32" s="358">
        <v>45444</v>
      </c>
      <c r="O32" s="423"/>
      <c r="P32" s="351">
        <v>14351.35</v>
      </c>
      <c r="Q32" s="352">
        <v>45446</v>
      </c>
      <c r="R32" s="353"/>
      <c r="S32" s="351"/>
      <c r="T32" s="351"/>
      <c r="U32" s="426"/>
      <c r="V32" s="484"/>
      <c r="W32" s="414"/>
      <c r="X32" s="2">
        <v>20</v>
      </c>
    </row>
    <row r="33" spans="1:24" s="2" customFormat="1" x14ac:dyDescent="0.3">
      <c r="A33" s="432"/>
      <c r="B33" s="417"/>
      <c r="C33" s="417"/>
      <c r="D33" s="417"/>
      <c r="E33" s="417"/>
      <c r="F33" s="423"/>
      <c r="G33" s="487"/>
      <c r="H33" s="426"/>
      <c r="I33" s="429"/>
      <c r="J33" s="478"/>
      <c r="K33" s="481"/>
      <c r="L33" s="417"/>
      <c r="M33" s="417"/>
      <c r="N33" s="358">
        <v>45443</v>
      </c>
      <c r="O33" s="423"/>
      <c r="P33" s="351">
        <v>1715.94</v>
      </c>
      <c r="Q33" s="352">
        <v>45460</v>
      </c>
      <c r="R33" s="353"/>
      <c r="S33" s="351"/>
      <c r="T33" s="351"/>
      <c r="U33" s="426"/>
      <c r="V33" s="484"/>
      <c r="W33" s="414"/>
      <c r="X33" s="2">
        <v>20</v>
      </c>
    </row>
    <row r="34" spans="1:24" s="2" customFormat="1" x14ac:dyDescent="0.3">
      <c r="A34" s="432"/>
      <c r="B34" s="417"/>
      <c r="C34" s="417"/>
      <c r="D34" s="417"/>
      <c r="E34" s="417"/>
      <c r="F34" s="423"/>
      <c r="G34" s="487"/>
      <c r="H34" s="426"/>
      <c r="I34" s="429"/>
      <c r="J34" s="478"/>
      <c r="K34" s="481"/>
      <c r="L34" s="417"/>
      <c r="M34" s="417"/>
      <c r="N34" s="358">
        <v>45444</v>
      </c>
      <c r="O34" s="423"/>
      <c r="P34" s="351">
        <v>16624.34</v>
      </c>
      <c r="Q34" s="352">
        <v>45460</v>
      </c>
      <c r="R34" s="353"/>
      <c r="S34" s="351"/>
      <c r="T34" s="351"/>
      <c r="U34" s="426"/>
      <c r="V34" s="484"/>
      <c r="W34" s="414"/>
      <c r="X34" s="2">
        <v>20</v>
      </c>
    </row>
    <row r="35" spans="1:24" s="2" customFormat="1" x14ac:dyDescent="0.3">
      <c r="A35" s="432"/>
      <c r="B35" s="417"/>
      <c r="C35" s="417"/>
      <c r="D35" s="417"/>
      <c r="E35" s="417"/>
      <c r="F35" s="423"/>
      <c r="G35" s="487"/>
      <c r="H35" s="426"/>
      <c r="I35" s="429"/>
      <c r="J35" s="478"/>
      <c r="K35" s="481"/>
      <c r="L35" s="417"/>
      <c r="M35" s="417"/>
      <c r="N35" s="358">
        <v>45474</v>
      </c>
      <c r="O35" s="423"/>
      <c r="P35" s="351">
        <v>13218.91</v>
      </c>
      <c r="Q35" s="352">
        <v>45475</v>
      </c>
      <c r="R35" s="353"/>
      <c r="S35" s="351"/>
      <c r="T35" s="351"/>
      <c r="U35" s="426"/>
      <c r="V35" s="484"/>
      <c r="W35" s="414"/>
      <c r="X35" s="2">
        <v>20</v>
      </c>
    </row>
    <row r="36" spans="1:24" s="2" customFormat="1" x14ac:dyDescent="0.3">
      <c r="A36" s="432"/>
      <c r="B36" s="417"/>
      <c r="C36" s="417"/>
      <c r="D36" s="417"/>
      <c r="E36" s="417"/>
      <c r="F36" s="423"/>
      <c r="G36" s="487"/>
      <c r="H36" s="426"/>
      <c r="I36" s="429"/>
      <c r="J36" s="478"/>
      <c r="K36" s="481"/>
      <c r="L36" s="417"/>
      <c r="M36" s="417"/>
      <c r="N36" s="358">
        <v>45474</v>
      </c>
      <c r="O36" s="423"/>
      <c r="P36" s="351">
        <v>10769.41</v>
      </c>
      <c r="Q36" s="352">
        <v>45485</v>
      </c>
      <c r="R36" s="353"/>
      <c r="S36" s="351"/>
      <c r="T36" s="351"/>
      <c r="U36" s="426"/>
      <c r="V36" s="484"/>
      <c r="W36" s="414"/>
      <c r="X36" s="2">
        <v>20</v>
      </c>
    </row>
    <row r="37" spans="1:24" s="2" customFormat="1" x14ac:dyDescent="0.3">
      <c r="A37" s="432"/>
      <c r="B37" s="417"/>
      <c r="C37" s="417"/>
      <c r="D37" s="417"/>
      <c r="E37" s="417"/>
      <c r="F37" s="423"/>
      <c r="G37" s="487"/>
      <c r="H37" s="426"/>
      <c r="I37" s="429"/>
      <c r="J37" s="478"/>
      <c r="K37" s="481"/>
      <c r="L37" s="417"/>
      <c r="M37" s="417"/>
      <c r="N37" s="358">
        <v>45505</v>
      </c>
      <c r="O37" s="423"/>
      <c r="P37" s="351">
        <v>8077.06</v>
      </c>
      <c r="Q37" s="352">
        <v>45505</v>
      </c>
      <c r="R37" s="353"/>
      <c r="S37" s="351"/>
      <c r="T37" s="351"/>
      <c r="U37" s="426"/>
      <c r="V37" s="484"/>
      <c r="W37" s="414"/>
      <c r="X37" s="2">
        <v>20</v>
      </c>
    </row>
    <row r="38" spans="1:24" s="2" customFormat="1" x14ac:dyDescent="0.3">
      <c r="A38" s="432"/>
      <c r="B38" s="417"/>
      <c r="C38" s="417"/>
      <c r="D38" s="417"/>
      <c r="E38" s="417"/>
      <c r="F38" s="423"/>
      <c r="G38" s="487"/>
      <c r="H38" s="426"/>
      <c r="I38" s="429"/>
      <c r="J38" s="478"/>
      <c r="K38" s="481"/>
      <c r="L38" s="417"/>
      <c r="M38" s="417"/>
      <c r="N38" s="358">
        <v>45505</v>
      </c>
      <c r="O38" s="423"/>
      <c r="P38" s="351">
        <v>9067.67</v>
      </c>
      <c r="Q38" s="352">
        <v>45519</v>
      </c>
      <c r="R38" s="353"/>
      <c r="S38" s="351"/>
      <c r="T38" s="351"/>
      <c r="U38" s="426"/>
      <c r="V38" s="484"/>
      <c r="W38" s="414"/>
      <c r="X38" s="2">
        <v>20</v>
      </c>
    </row>
    <row r="39" spans="1:24" s="2" customFormat="1" x14ac:dyDescent="0.3">
      <c r="A39" s="432"/>
      <c r="B39" s="417"/>
      <c r="C39" s="417"/>
      <c r="D39" s="417"/>
      <c r="E39" s="417"/>
      <c r="F39" s="423"/>
      <c r="G39" s="487"/>
      <c r="H39" s="426"/>
      <c r="I39" s="429"/>
      <c r="J39" s="478"/>
      <c r="K39" s="481"/>
      <c r="L39" s="417"/>
      <c r="M39" s="417"/>
      <c r="N39" s="358"/>
      <c r="O39" s="423"/>
      <c r="P39" s="351"/>
      <c r="Q39" s="352"/>
      <c r="R39" s="353"/>
      <c r="S39" s="351"/>
      <c r="T39" s="351"/>
      <c r="U39" s="426"/>
      <c r="V39" s="484"/>
      <c r="W39" s="414"/>
      <c r="X39" s="2">
        <v>20</v>
      </c>
    </row>
    <row r="40" spans="1:24" s="2" customFormat="1" x14ac:dyDescent="0.3">
      <c r="A40" s="433"/>
      <c r="B40" s="418"/>
      <c r="C40" s="418"/>
      <c r="D40" s="418"/>
      <c r="E40" s="418"/>
      <c r="F40" s="424"/>
      <c r="G40" s="488"/>
      <c r="H40" s="427"/>
      <c r="I40" s="430"/>
      <c r="J40" s="479"/>
      <c r="K40" s="482"/>
      <c r="L40" s="418"/>
      <c r="M40" s="418"/>
      <c r="N40" s="359"/>
      <c r="O40" s="424"/>
      <c r="P40" s="354"/>
      <c r="Q40" s="355"/>
      <c r="R40" s="356"/>
      <c r="S40" s="354"/>
      <c r="T40" s="354"/>
      <c r="U40" s="427"/>
      <c r="V40" s="485"/>
      <c r="W40" s="415"/>
      <c r="X40" s="2">
        <v>20</v>
      </c>
    </row>
    <row r="41" spans="1:24" s="107" customFormat="1" ht="72" customHeight="1" x14ac:dyDescent="0.3">
      <c r="A41" s="431">
        <v>4</v>
      </c>
      <c r="B41" s="416" t="s">
        <v>56</v>
      </c>
      <c r="C41" s="416" t="s">
        <v>146</v>
      </c>
      <c r="D41" s="416" t="s">
        <v>147</v>
      </c>
      <c r="E41" s="416" t="s">
        <v>173</v>
      </c>
      <c r="F41" s="422">
        <v>45289</v>
      </c>
      <c r="G41" s="486" t="s">
        <v>148</v>
      </c>
      <c r="H41" s="425">
        <v>46882.29</v>
      </c>
      <c r="I41" s="428">
        <f>IF(X41 = 21, H41 + SUM(S41:S47) - SUM(T41:T47) - SUM(P41:P47) - V41,0)</f>
        <v>20211.720000000005</v>
      </c>
      <c r="J41" s="477">
        <v>2308131994</v>
      </c>
      <c r="K41" s="480" t="s">
        <v>162</v>
      </c>
      <c r="L41" s="416" t="s">
        <v>146</v>
      </c>
      <c r="M41" s="416"/>
      <c r="N41" s="357">
        <v>45322</v>
      </c>
      <c r="O41" s="422" t="s">
        <v>170</v>
      </c>
      <c r="P41" s="348">
        <v>3771.37</v>
      </c>
      <c r="Q41" s="349">
        <v>45324</v>
      </c>
      <c r="R41" s="350"/>
      <c r="S41" s="348"/>
      <c r="T41" s="348"/>
      <c r="U41" s="425"/>
      <c r="V41" s="483"/>
      <c r="W41" s="413"/>
      <c r="X41" s="107">
        <v>21</v>
      </c>
    </row>
    <row r="42" spans="1:24" s="2" customFormat="1" x14ac:dyDescent="0.3">
      <c r="A42" s="432"/>
      <c r="B42" s="417"/>
      <c r="C42" s="417"/>
      <c r="D42" s="417"/>
      <c r="E42" s="417"/>
      <c r="F42" s="423"/>
      <c r="G42" s="487"/>
      <c r="H42" s="426"/>
      <c r="I42" s="429"/>
      <c r="J42" s="478"/>
      <c r="K42" s="481"/>
      <c r="L42" s="417"/>
      <c r="M42" s="417"/>
      <c r="N42" s="358">
        <v>45351</v>
      </c>
      <c r="O42" s="423"/>
      <c r="P42" s="351">
        <v>3771.37</v>
      </c>
      <c r="Q42" s="352">
        <v>45357</v>
      </c>
      <c r="R42" s="353"/>
      <c r="S42" s="351"/>
      <c r="T42" s="351"/>
      <c r="U42" s="426"/>
      <c r="V42" s="484"/>
      <c r="W42" s="414"/>
      <c r="X42" s="2">
        <v>21</v>
      </c>
    </row>
    <row r="43" spans="1:24" s="2" customFormat="1" x14ac:dyDescent="0.3">
      <c r="A43" s="432"/>
      <c r="B43" s="417"/>
      <c r="C43" s="417"/>
      <c r="D43" s="417"/>
      <c r="E43" s="417"/>
      <c r="F43" s="423"/>
      <c r="G43" s="487"/>
      <c r="H43" s="426"/>
      <c r="I43" s="429"/>
      <c r="J43" s="478"/>
      <c r="K43" s="481"/>
      <c r="L43" s="417"/>
      <c r="M43" s="417"/>
      <c r="N43" s="358">
        <v>45382</v>
      </c>
      <c r="O43" s="423"/>
      <c r="P43" s="351">
        <v>3771.37</v>
      </c>
      <c r="Q43" s="352">
        <v>45383</v>
      </c>
      <c r="R43" s="353"/>
      <c r="S43" s="351"/>
      <c r="T43" s="351"/>
      <c r="U43" s="426"/>
      <c r="V43" s="484"/>
      <c r="W43" s="414"/>
      <c r="X43" s="2">
        <v>21</v>
      </c>
    </row>
    <row r="44" spans="1:24" s="2" customFormat="1" x14ac:dyDescent="0.3">
      <c r="A44" s="432"/>
      <c r="B44" s="417"/>
      <c r="C44" s="417"/>
      <c r="D44" s="417"/>
      <c r="E44" s="417"/>
      <c r="F44" s="423"/>
      <c r="G44" s="487"/>
      <c r="H44" s="426"/>
      <c r="I44" s="429"/>
      <c r="J44" s="478"/>
      <c r="K44" s="481"/>
      <c r="L44" s="417"/>
      <c r="M44" s="417"/>
      <c r="N44" s="358">
        <v>45412</v>
      </c>
      <c r="O44" s="423"/>
      <c r="P44" s="351">
        <v>3771.37</v>
      </c>
      <c r="Q44" s="352">
        <v>45419</v>
      </c>
      <c r="R44" s="353"/>
      <c r="S44" s="351"/>
      <c r="T44" s="351"/>
      <c r="U44" s="426"/>
      <c r="V44" s="484"/>
      <c r="W44" s="414"/>
      <c r="X44" s="2">
        <v>21</v>
      </c>
    </row>
    <row r="45" spans="1:24" s="2" customFormat="1" x14ac:dyDescent="0.3">
      <c r="A45" s="432"/>
      <c r="B45" s="417"/>
      <c r="C45" s="417"/>
      <c r="D45" s="417"/>
      <c r="E45" s="417"/>
      <c r="F45" s="423"/>
      <c r="G45" s="487"/>
      <c r="H45" s="426"/>
      <c r="I45" s="429"/>
      <c r="J45" s="478"/>
      <c r="K45" s="481"/>
      <c r="L45" s="417"/>
      <c r="M45" s="417"/>
      <c r="N45" s="358">
        <v>45415</v>
      </c>
      <c r="O45" s="423"/>
      <c r="P45" s="351">
        <v>3771.37</v>
      </c>
      <c r="Q45" s="352">
        <v>45448</v>
      </c>
      <c r="R45" s="353"/>
      <c r="S45" s="351"/>
      <c r="T45" s="351"/>
      <c r="U45" s="426"/>
      <c r="V45" s="484"/>
      <c r="W45" s="414"/>
      <c r="X45" s="2">
        <v>21</v>
      </c>
    </row>
    <row r="46" spans="1:24" s="2" customFormat="1" x14ac:dyDescent="0.3">
      <c r="A46" s="432"/>
      <c r="B46" s="417"/>
      <c r="C46" s="417"/>
      <c r="D46" s="417"/>
      <c r="E46" s="417"/>
      <c r="F46" s="423"/>
      <c r="G46" s="487"/>
      <c r="H46" s="426"/>
      <c r="I46" s="429"/>
      <c r="J46" s="478"/>
      <c r="K46" s="481"/>
      <c r="L46" s="417"/>
      <c r="M46" s="417"/>
      <c r="N46" s="358">
        <v>45473</v>
      </c>
      <c r="O46" s="423"/>
      <c r="P46" s="351">
        <v>3771.37</v>
      </c>
      <c r="Q46" s="352">
        <v>45476</v>
      </c>
      <c r="R46" s="353"/>
      <c r="S46" s="351"/>
      <c r="T46" s="351"/>
      <c r="U46" s="426"/>
      <c r="V46" s="484"/>
      <c r="W46" s="414"/>
      <c r="X46" s="2">
        <v>21</v>
      </c>
    </row>
    <row r="47" spans="1:24" s="2" customFormat="1" x14ac:dyDescent="0.3">
      <c r="A47" s="433"/>
      <c r="B47" s="418"/>
      <c r="C47" s="418"/>
      <c r="D47" s="418"/>
      <c r="E47" s="418"/>
      <c r="F47" s="424"/>
      <c r="G47" s="488"/>
      <c r="H47" s="427"/>
      <c r="I47" s="430"/>
      <c r="J47" s="479"/>
      <c r="K47" s="482"/>
      <c r="L47" s="418"/>
      <c r="M47" s="418"/>
      <c r="N47" s="359">
        <v>45504</v>
      </c>
      <c r="O47" s="424"/>
      <c r="P47" s="354">
        <v>4042.35</v>
      </c>
      <c r="Q47" s="355">
        <v>45512</v>
      </c>
      <c r="R47" s="356"/>
      <c r="S47" s="354"/>
      <c r="T47" s="354"/>
      <c r="U47" s="427"/>
      <c r="V47" s="485"/>
      <c r="W47" s="415"/>
      <c r="X47" s="2">
        <v>21</v>
      </c>
    </row>
    <row r="48" spans="1:24" s="107" customFormat="1" ht="187.5" customHeight="1" x14ac:dyDescent="0.3">
      <c r="A48" s="499">
        <v>5</v>
      </c>
      <c r="B48" s="507" t="s">
        <v>56</v>
      </c>
      <c r="C48" s="507" t="s">
        <v>146</v>
      </c>
      <c r="D48" s="507" t="s">
        <v>147</v>
      </c>
      <c r="E48" s="507" t="s">
        <v>36</v>
      </c>
      <c r="F48" s="501">
        <v>45289</v>
      </c>
      <c r="G48" s="509" t="s">
        <v>197</v>
      </c>
      <c r="H48" s="505">
        <v>17500</v>
      </c>
      <c r="I48" s="511">
        <f>IF(X48 = 22, H48 + SUM(S48:S52) - SUM(T48:T52) - SUM(P48:P52) - V48,0)</f>
        <v>7500</v>
      </c>
      <c r="J48" s="513">
        <v>235301271520</v>
      </c>
      <c r="K48" s="515" t="s">
        <v>158</v>
      </c>
      <c r="L48" s="507" t="s">
        <v>146</v>
      </c>
      <c r="M48" s="507"/>
      <c r="N48" s="120">
        <v>45315</v>
      </c>
      <c r="O48" s="501" t="s">
        <v>194</v>
      </c>
      <c r="P48" s="121">
        <v>2500</v>
      </c>
      <c r="Q48" s="122">
        <v>45316</v>
      </c>
      <c r="R48" s="123"/>
      <c r="S48" s="121"/>
      <c r="T48" s="121"/>
      <c r="U48" s="505"/>
      <c r="V48" s="543"/>
      <c r="W48" s="545"/>
      <c r="X48" s="107">
        <v>22</v>
      </c>
    </row>
    <row r="49" spans="1:24" s="2" customFormat="1" x14ac:dyDescent="0.3">
      <c r="A49" s="500"/>
      <c r="B49" s="508"/>
      <c r="C49" s="508"/>
      <c r="D49" s="508"/>
      <c r="E49" s="508"/>
      <c r="F49" s="502"/>
      <c r="G49" s="510"/>
      <c r="H49" s="506"/>
      <c r="I49" s="512"/>
      <c r="J49" s="514"/>
      <c r="K49" s="516"/>
      <c r="L49" s="508"/>
      <c r="M49" s="508"/>
      <c r="N49" s="124">
        <v>45349</v>
      </c>
      <c r="O49" s="502"/>
      <c r="P49" s="125">
        <v>2500</v>
      </c>
      <c r="Q49" s="126">
        <v>45349</v>
      </c>
      <c r="R49" s="127"/>
      <c r="S49" s="125"/>
      <c r="T49" s="125"/>
      <c r="U49" s="506"/>
      <c r="V49" s="544"/>
      <c r="W49" s="546"/>
      <c r="X49" s="2">
        <v>22</v>
      </c>
    </row>
    <row r="50" spans="1:24" s="2" customFormat="1" x14ac:dyDescent="0.3">
      <c r="A50" s="500"/>
      <c r="B50" s="508"/>
      <c r="C50" s="508"/>
      <c r="D50" s="508"/>
      <c r="E50" s="508"/>
      <c r="F50" s="502"/>
      <c r="G50" s="510"/>
      <c r="H50" s="506"/>
      <c r="I50" s="512"/>
      <c r="J50" s="514"/>
      <c r="K50" s="516"/>
      <c r="L50" s="508"/>
      <c r="M50" s="508"/>
      <c r="N50" s="124">
        <v>45376</v>
      </c>
      <c r="O50" s="502"/>
      <c r="P50" s="125">
        <v>2500</v>
      </c>
      <c r="Q50" s="126">
        <v>45379</v>
      </c>
      <c r="R50" s="127"/>
      <c r="S50" s="125"/>
      <c r="T50" s="125"/>
      <c r="U50" s="506"/>
      <c r="V50" s="544"/>
      <c r="W50" s="546"/>
      <c r="X50" s="2">
        <v>22</v>
      </c>
    </row>
    <row r="51" spans="1:24" s="2" customFormat="1" x14ac:dyDescent="0.3">
      <c r="A51" s="500"/>
      <c r="B51" s="508"/>
      <c r="C51" s="508"/>
      <c r="D51" s="508"/>
      <c r="E51" s="508"/>
      <c r="F51" s="502"/>
      <c r="G51" s="510"/>
      <c r="H51" s="506"/>
      <c r="I51" s="512"/>
      <c r="J51" s="514"/>
      <c r="K51" s="516"/>
      <c r="L51" s="508"/>
      <c r="M51" s="508"/>
      <c r="N51" s="124">
        <v>45407</v>
      </c>
      <c r="O51" s="502"/>
      <c r="P51" s="125">
        <v>2500</v>
      </c>
      <c r="Q51" s="126">
        <v>45419</v>
      </c>
      <c r="R51" s="127"/>
      <c r="S51" s="125"/>
      <c r="T51" s="125"/>
      <c r="U51" s="506"/>
      <c r="V51" s="544"/>
      <c r="W51" s="546"/>
      <c r="X51" s="2">
        <v>22</v>
      </c>
    </row>
    <row r="52" spans="1:24" s="2" customFormat="1" x14ac:dyDescent="0.3">
      <c r="A52" s="500"/>
      <c r="B52" s="508"/>
      <c r="C52" s="508"/>
      <c r="D52" s="508"/>
      <c r="E52" s="508"/>
      <c r="F52" s="502"/>
      <c r="G52" s="510"/>
      <c r="H52" s="506"/>
      <c r="I52" s="512"/>
      <c r="J52" s="514"/>
      <c r="K52" s="516"/>
      <c r="L52" s="508"/>
      <c r="M52" s="508"/>
      <c r="N52" s="124"/>
      <c r="O52" s="502"/>
      <c r="P52" s="125"/>
      <c r="Q52" s="126"/>
      <c r="R52" s="127"/>
      <c r="S52" s="125"/>
      <c r="T52" s="125"/>
      <c r="U52" s="506"/>
      <c r="V52" s="544"/>
      <c r="W52" s="546"/>
      <c r="X52" s="2">
        <v>22</v>
      </c>
    </row>
    <row r="53" spans="1:24" s="107" customFormat="1" ht="187.5" customHeight="1" x14ac:dyDescent="0.3">
      <c r="A53" s="462">
        <v>6</v>
      </c>
      <c r="B53" s="468" t="s">
        <v>56</v>
      </c>
      <c r="C53" s="468" t="s">
        <v>146</v>
      </c>
      <c r="D53" s="468" t="s">
        <v>147</v>
      </c>
      <c r="E53" s="468" t="s">
        <v>111</v>
      </c>
      <c r="F53" s="464">
        <v>45289</v>
      </c>
      <c r="G53" s="586" t="s">
        <v>198</v>
      </c>
      <c r="H53" s="466">
        <v>26400</v>
      </c>
      <c r="I53" s="474">
        <f>IF(X53 = 23, H53 + SUM(S53:S59) - SUM(T53:T59) - SUM(P53:P59) - V53,0)</f>
        <v>11000</v>
      </c>
      <c r="J53" s="579">
        <v>231107998282</v>
      </c>
      <c r="K53" s="582" t="s">
        <v>199</v>
      </c>
      <c r="L53" s="468" t="s">
        <v>146</v>
      </c>
      <c r="M53" s="468"/>
      <c r="N53" s="340">
        <v>45315</v>
      </c>
      <c r="O53" s="464" t="s">
        <v>194</v>
      </c>
      <c r="P53" s="325">
        <v>2200</v>
      </c>
      <c r="Q53" s="326">
        <v>45324</v>
      </c>
      <c r="R53" s="327"/>
      <c r="S53" s="325"/>
      <c r="T53" s="325"/>
      <c r="U53" s="466"/>
      <c r="V53" s="575"/>
      <c r="W53" s="472"/>
      <c r="X53" s="107">
        <v>23</v>
      </c>
    </row>
    <row r="54" spans="1:24" s="2" customFormat="1" x14ac:dyDescent="0.3">
      <c r="A54" s="588"/>
      <c r="B54" s="585"/>
      <c r="C54" s="585"/>
      <c r="D54" s="585"/>
      <c r="E54" s="585"/>
      <c r="F54" s="573"/>
      <c r="G54" s="589"/>
      <c r="H54" s="574"/>
      <c r="I54" s="590"/>
      <c r="J54" s="580"/>
      <c r="K54" s="583"/>
      <c r="L54" s="585"/>
      <c r="M54" s="585"/>
      <c r="N54" s="341">
        <v>45351</v>
      </c>
      <c r="O54" s="573"/>
      <c r="P54" s="328">
        <v>2200</v>
      </c>
      <c r="Q54" s="329">
        <v>45351</v>
      </c>
      <c r="R54" s="330"/>
      <c r="S54" s="328"/>
      <c r="T54" s="328"/>
      <c r="U54" s="574"/>
      <c r="V54" s="576"/>
      <c r="W54" s="578"/>
      <c r="X54" s="2">
        <v>23</v>
      </c>
    </row>
    <row r="55" spans="1:24" s="2" customFormat="1" x14ac:dyDescent="0.3">
      <c r="A55" s="588"/>
      <c r="B55" s="585"/>
      <c r="C55" s="585"/>
      <c r="D55" s="585"/>
      <c r="E55" s="585"/>
      <c r="F55" s="573"/>
      <c r="G55" s="589"/>
      <c r="H55" s="574"/>
      <c r="I55" s="590"/>
      <c r="J55" s="580"/>
      <c r="K55" s="583"/>
      <c r="L55" s="585"/>
      <c r="M55" s="585"/>
      <c r="N55" s="341">
        <v>45382</v>
      </c>
      <c r="O55" s="573"/>
      <c r="P55" s="328">
        <v>2200</v>
      </c>
      <c r="Q55" s="329">
        <v>45383</v>
      </c>
      <c r="R55" s="330"/>
      <c r="S55" s="328"/>
      <c r="T55" s="328"/>
      <c r="U55" s="574"/>
      <c r="V55" s="576"/>
      <c r="W55" s="578"/>
      <c r="X55" s="2">
        <v>23</v>
      </c>
    </row>
    <row r="56" spans="1:24" s="2" customFormat="1" x14ac:dyDescent="0.3">
      <c r="A56" s="588"/>
      <c r="B56" s="585"/>
      <c r="C56" s="585"/>
      <c r="D56" s="585"/>
      <c r="E56" s="585"/>
      <c r="F56" s="573"/>
      <c r="G56" s="589"/>
      <c r="H56" s="574"/>
      <c r="I56" s="590"/>
      <c r="J56" s="580"/>
      <c r="K56" s="583"/>
      <c r="L56" s="585"/>
      <c r="M56" s="585"/>
      <c r="N56" s="341">
        <v>45409</v>
      </c>
      <c r="O56" s="573"/>
      <c r="P56" s="328">
        <v>2200</v>
      </c>
      <c r="Q56" s="329">
        <v>45419</v>
      </c>
      <c r="R56" s="330"/>
      <c r="S56" s="328"/>
      <c r="T56" s="328"/>
      <c r="U56" s="574"/>
      <c r="V56" s="576"/>
      <c r="W56" s="578"/>
      <c r="X56" s="2">
        <v>23</v>
      </c>
    </row>
    <row r="57" spans="1:24" s="2" customFormat="1" x14ac:dyDescent="0.3">
      <c r="A57" s="588"/>
      <c r="B57" s="585"/>
      <c r="C57" s="585"/>
      <c r="D57" s="585"/>
      <c r="E57" s="585"/>
      <c r="F57" s="573"/>
      <c r="G57" s="589"/>
      <c r="H57" s="574"/>
      <c r="I57" s="590"/>
      <c r="J57" s="580"/>
      <c r="K57" s="583"/>
      <c r="L57" s="585"/>
      <c r="M57" s="585"/>
      <c r="N57" s="341">
        <v>45443</v>
      </c>
      <c r="O57" s="573"/>
      <c r="P57" s="328">
        <v>2200</v>
      </c>
      <c r="Q57" s="329">
        <v>45448</v>
      </c>
      <c r="R57" s="330"/>
      <c r="S57" s="328"/>
      <c r="T57" s="328"/>
      <c r="U57" s="574"/>
      <c r="V57" s="576"/>
      <c r="W57" s="578"/>
      <c r="X57" s="2">
        <v>23</v>
      </c>
    </row>
    <row r="58" spans="1:24" s="2" customFormat="1" x14ac:dyDescent="0.3">
      <c r="A58" s="588"/>
      <c r="B58" s="585"/>
      <c r="C58" s="585"/>
      <c r="D58" s="585"/>
      <c r="E58" s="585"/>
      <c r="F58" s="573"/>
      <c r="G58" s="589"/>
      <c r="H58" s="574"/>
      <c r="I58" s="590"/>
      <c r="J58" s="580"/>
      <c r="K58" s="583"/>
      <c r="L58" s="585"/>
      <c r="M58" s="585"/>
      <c r="N58" s="341">
        <v>45473</v>
      </c>
      <c r="O58" s="573"/>
      <c r="P58" s="328">
        <v>2200</v>
      </c>
      <c r="Q58" s="329">
        <v>45475</v>
      </c>
      <c r="R58" s="330"/>
      <c r="S58" s="328"/>
      <c r="T58" s="328"/>
      <c r="U58" s="574"/>
      <c r="V58" s="576"/>
      <c r="W58" s="578"/>
      <c r="X58" s="2">
        <v>23</v>
      </c>
    </row>
    <row r="59" spans="1:24" s="2" customFormat="1" x14ac:dyDescent="0.3">
      <c r="A59" s="463"/>
      <c r="B59" s="469"/>
      <c r="C59" s="469"/>
      <c r="D59" s="469"/>
      <c r="E59" s="469"/>
      <c r="F59" s="465"/>
      <c r="G59" s="587"/>
      <c r="H59" s="467"/>
      <c r="I59" s="475"/>
      <c r="J59" s="581"/>
      <c r="K59" s="584"/>
      <c r="L59" s="469"/>
      <c r="M59" s="469"/>
      <c r="N59" s="342">
        <v>45504</v>
      </c>
      <c r="O59" s="465"/>
      <c r="P59" s="335">
        <v>2200</v>
      </c>
      <c r="Q59" s="336">
        <v>45504</v>
      </c>
      <c r="R59" s="337"/>
      <c r="S59" s="335"/>
      <c r="T59" s="335"/>
      <c r="U59" s="467"/>
      <c r="V59" s="577"/>
      <c r="W59" s="473"/>
      <c r="X59" s="2">
        <v>23</v>
      </c>
    </row>
    <row r="60" spans="1:24" s="107" customFormat="1" ht="108" customHeight="1" x14ac:dyDescent="0.3">
      <c r="A60" s="462">
        <v>7</v>
      </c>
      <c r="B60" s="468" t="s">
        <v>56</v>
      </c>
      <c r="C60" s="468" t="s">
        <v>146</v>
      </c>
      <c r="D60" s="468" t="s">
        <v>177</v>
      </c>
      <c r="E60" s="468" t="s">
        <v>195</v>
      </c>
      <c r="F60" s="464">
        <v>45289</v>
      </c>
      <c r="G60" s="586" t="s">
        <v>196</v>
      </c>
      <c r="H60" s="466">
        <v>1200</v>
      </c>
      <c r="I60" s="474">
        <f>IF(X60 = 24, H60 + SUM(S60:S61) - SUM(T60:T61) - SUM(P60:P61) - V60,0)</f>
        <v>0</v>
      </c>
      <c r="J60" s="579">
        <v>2369000660</v>
      </c>
      <c r="K60" s="582" t="s">
        <v>157</v>
      </c>
      <c r="L60" s="468" t="s">
        <v>146</v>
      </c>
      <c r="M60" s="468"/>
      <c r="N60" s="340"/>
      <c r="O60" s="464" t="s">
        <v>194</v>
      </c>
      <c r="P60" s="325">
        <v>1200</v>
      </c>
      <c r="Q60" s="326">
        <v>45351</v>
      </c>
      <c r="R60" s="327"/>
      <c r="S60" s="325"/>
      <c r="T60" s="325"/>
      <c r="U60" s="466"/>
      <c r="V60" s="575"/>
      <c r="W60" s="472"/>
      <c r="X60" s="107">
        <v>24</v>
      </c>
    </row>
    <row r="61" spans="1:24" s="2" customFormat="1" x14ac:dyDescent="0.3">
      <c r="A61" s="463"/>
      <c r="B61" s="469"/>
      <c r="C61" s="469"/>
      <c r="D61" s="469"/>
      <c r="E61" s="469"/>
      <c r="F61" s="465"/>
      <c r="G61" s="587"/>
      <c r="H61" s="467"/>
      <c r="I61" s="475"/>
      <c r="J61" s="581"/>
      <c r="K61" s="584"/>
      <c r="L61" s="469"/>
      <c r="M61" s="469"/>
      <c r="N61" s="342"/>
      <c r="O61" s="465"/>
      <c r="P61" s="335"/>
      <c r="Q61" s="336"/>
      <c r="R61" s="337"/>
      <c r="S61" s="335"/>
      <c r="T61" s="335"/>
      <c r="U61" s="467"/>
      <c r="V61" s="577"/>
      <c r="W61" s="473"/>
      <c r="X61" s="2">
        <v>24</v>
      </c>
    </row>
    <row r="62" spans="1:24" s="107" customFormat="1" ht="131.25" customHeight="1" x14ac:dyDescent="0.3">
      <c r="A62" s="462">
        <v>8</v>
      </c>
      <c r="B62" s="468" t="s">
        <v>56</v>
      </c>
      <c r="C62" s="468" t="s">
        <v>146</v>
      </c>
      <c r="D62" s="468" t="s">
        <v>178</v>
      </c>
      <c r="E62" s="468" t="s">
        <v>110</v>
      </c>
      <c r="F62" s="464">
        <v>45289</v>
      </c>
      <c r="G62" s="586" t="s">
        <v>200</v>
      </c>
      <c r="H62" s="466">
        <v>15600</v>
      </c>
      <c r="I62" s="474">
        <f>IF(X62 = 25, H62 + SUM(S62:S68) - SUM(T62:T68) - SUM(P62:P68) - V62,0)</f>
        <v>6500</v>
      </c>
      <c r="J62" s="579">
        <v>231107998282</v>
      </c>
      <c r="K62" s="582" t="s">
        <v>199</v>
      </c>
      <c r="L62" s="468" t="s">
        <v>146</v>
      </c>
      <c r="M62" s="468"/>
      <c r="N62" s="340">
        <v>45315</v>
      </c>
      <c r="O62" s="464" t="s">
        <v>194</v>
      </c>
      <c r="P62" s="325">
        <v>1300</v>
      </c>
      <c r="Q62" s="326">
        <v>45324</v>
      </c>
      <c r="R62" s="327"/>
      <c r="S62" s="325"/>
      <c r="T62" s="325"/>
      <c r="U62" s="466"/>
      <c r="V62" s="575"/>
      <c r="W62" s="472"/>
      <c r="X62" s="107">
        <v>25</v>
      </c>
    </row>
    <row r="63" spans="1:24" s="2" customFormat="1" x14ac:dyDescent="0.3">
      <c r="A63" s="588"/>
      <c r="B63" s="585"/>
      <c r="C63" s="585"/>
      <c r="D63" s="585"/>
      <c r="E63" s="585"/>
      <c r="F63" s="573"/>
      <c r="G63" s="589"/>
      <c r="H63" s="574"/>
      <c r="I63" s="590"/>
      <c r="J63" s="580"/>
      <c r="K63" s="583"/>
      <c r="L63" s="585"/>
      <c r="M63" s="585"/>
      <c r="N63" s="341">
        <v>45351</v>
      </c>
      <c r="O63" s="573"/>
      <c r="P63" s="328">
        <v>1300</v>
      </c>
      <c r="Q63" s="329">
        <v>45351</v>
      </c>
      <c r="R63" s="330"/>
      <c r="S63" s="328"/>
      <c r="T63" s="328"/>
      <c r="U63" s="574"/>
      <c r="V63" s="576"/>
      <c r="W63" s="578"/>
      <c r="X63" s="2">
        <v>25</v>
      </c>
    </row>
    <row r="64" spans="1:24" s="2" customFormat="1" x14ac:dyDescent="0.3">
      <c r="A64" s="588"/>
      <c r="B64" s="585"/>
      <c r="C64" s="585"/>
      <c r="D64" s="585"/>
      <c r="E64" s="585"/>
      <c r="F64" s="573"/>
      <c r="G64" s="589"/>
      <c r="H64" s="574"/>
      <c r="I64" s="590"/>
      <c r="J64" s="580"/>
      <c r="K64" s="583"/>
      <c r="L64" s="585"/>
      <c r="M64" s="585"/>
      <c r="N64" s="341">
        <v>45382</v>
      </c>
      <c r="O64" s="573"/>
      <c r="P64" s="328">
        <v>1300</v>
      </c>
      <c r="Q64" s="329">
        <v>45383</v>
      </c>
      <c r="R64" s="330"/>
      <c r="S64" s="328"/>
      <c r="T64" s="328"/>
      <c r="U64" s="574"/>
      <c r="V64" s="576"/>
      <c r="W64" s="578"/>
      <c r="X64" s="2">
        <v>25</v>
      </c>
    </row>
    <row r="65" spans="1:24" s="2" customFormat="1" x14ac:dyDescent="0.3">
      <c r="A65" s="588"/>
      <c r="B65" s="585"/>
      <c r="C65" s="585"/>
      <c r="D65" s="585"/>
      <c r="E65" s="585"/>
      <c r="F65" s="573"/>
      <c r="G65" s="589"/>
      <c r="H65" s="574"/>
      <c r="I65" s="590"/>
      <c r="J65" s="580"/>
      <c r="K65" s="583"/>
      <c r="L65" s="585"/>
      <c r="M65" s="585"/>
      <c r="N65" s="341">
        <v>45409</v>
      </c>
      <c r="O65" s="573"/>
      <c r="P65" s="328">
        <v>1300</v>
      </c>
      <c r="Q65" s="329">
        <v>45419</v>
      </c>
      <c r="R65" s="330"/>
      <c r="S65" s="328"/>
      <c r="T65" s="328"/>
      <c r="U65" s="574"/>
      <c r="V65" s="576"/>
      <c r="W65" s="578"/>
      <c r="X65" s="2">
        <v>25</v>
      </c>
    </row>
    <row r="66" spans="1:24" s="2" customFormat="1" x14ac:dyDescent="0.3">
      <c r="A66" s="588"/>
      <c r="B66" s="585"/>
      <c r="C66" s="585"/>
      <c r="D66" s="585"/>
      <c r="E66" s="585"/>
      <c r="F66" s="573"/>
      <c r="G66" s="589"/>
      <c r="H66" s="574"/>
      <c r="I66" s="590"/>
      <c r="J66" s="580"/>
      <c r="K66" s="583"/>
      <c r="L66" s="585"/>
      <c r="M66" s="585"/>
      <c r="N66" s="341">
        <v>45443</v>
      </c>
      <c r="O66" s="573"/>
      <c r="P66" s="328">
        <v>1300</v>
      </c>
      <c r="Q66" s="329">
        <v>45448</v>
      </c>
      <c r="R66" s="330"/>
      <c r="S66" s="328"/>
      <c r="T66" s="328"/>
      <c r="U66" s="574"/>
      <c r="V66" s="576"/>
      <c r="W66" s="578"/>
      <c r="X66" s="2">
        <v>25</v>
      </c>
    </row>
    <row r="67" spans="1:24" s="2" customFormat="1" x14ac:dyDescent="0.3">
      <c r="A67" s="588"/>
      <c r="B67" s="585"/>
      <c r="C67" s="585"/>
      <c r="D67" s="585"/>
      <c r="E67" s="585"/>
      <c r="F67" s="573"/>
      <c r="G67" s="589"/>
      <c r="H67" s="574"/>
      <c r="I67" s="590"/>
      <c r="J67" s="580"/>
      <c r="K67" s="583"/>
      <c r="L67" s="585"/>
      <c r="M67" s="585"/>
      <c r="N67" s="341">
        <v>45473</v>
      </c>
      <c r="O67" s="573"/>
      <c r="P67" s="328">
        <v>1300</v>
      </c>
      <c r="Q67" s="329">
        <v>45475</v>
      </c>
      <c r="R67" s="330"/>
      <c r="S67" s="328"/>
      <c r="T67" s="328"/>
      <c r="U67" s="574"/>
      <c r="V67" s="576"/>
      <c r="W67" s="578"/>
      <c r="X67" s="2">
        <v>25</v>
      </c>
    </row>
    <row r="68" spans="1:24" s="2" customFormat="1" x14ac:dyDescent="0.3">
      <c r="A68" s="463"/>
      <c r="B68" s="469"/>
      <c r="C68" s="469"/>
      <c r="D68" s="469"/>
      <c r="E68" s="469"/>
      <c r="F68" s="465"/>
      <c r="G68" s="587"/>
      <c r="H68" s="467"/>
      <c r="I68" s="475"/>
      <c r="J68" s="581"/>
      <c r="K68" s="584"/>
      <c r="L68" s="469"/>
      <c r="M68" s="469"/>
      <c r="N68" s="342">
        <v>45504</v>
      </c>
      <c r="O68" s="465"/>
      <c r="P68" s="335">
        <v>1300</v>
      </c>
      <c r="Q68" s="336">
        <v>45504</v>
      </c>
      <c r="R68" s="337"/>
      <c r="S68" s="335"/>
      <c r="T68" s="335"/>
      <c r="U68" s="467"/>
      <c r="V68" s="577"/>
      <c r="W68" s="473"/>
      <c r="X68" s="2">
        <v>25</v>
      </c>
    </row>
    <row r="69" spans="1:24" s="107" customFormat="1" ht="108" customHeight="1" x14ac:dyDescent="0.3">
      <c r="A69" s="557">
        <v>9</v>
      </c>
      <c r="B69" s="520" t="s">
        <v>56</v>
      </c>
      <c r="C69" s="520" t="s">
        <v>146</v>
      </c>
      <c r="D69" s="520" t="s">
        <v>147</v>
      </c>
      <c r="E69" s="520" t="s">
        <v>112</v>
      </c>
      <c r="F69" s="549">
        <v>45289</v>
      </c>
      <c r="G69" s="552" t="s">
        <v>201</v>
      </c>
      <c r="H69" s="523">
        <v>205534.8</v>
      </c>
      <c r="I69" s="526">
        <f>IF(X69 = 26, H69 + SUM(S69:S93) - SUM(T69:T93) - SUM(P69:P93) - V69,0)</f>
        <v>-1.4551915228366852E-11</v>
      </c>
      <c r="J69" s="529">
        <v>2353020735</v>
      </c>
      <c r="K69" s="532" t="s">
        <v>156</v>
      </c>
      <c r="L69" s="520" t="s">
        <v>146</v>
      </c>
      <c r="M69" s="520"/>
      <c r="N69" s="214">
        <v>45322</v>
      </c>
      <c r="O69" s="549" t="s">
        <v>194</v>
      </c>
      <c r="P69" s="205">
        <v>450</v>
      </c>
      <c r="Q69" s="206">
        <v>45334</v>
      </c>
      <c r="R69" s="207"/>
      <c r="S69" s="205"/>
      <c r="T69" s="205"/>
      <c r="U69" s="523" t="s">
        <v>279</v>
      </c>
      <c r="V69" s="554">
        <v>52977.2</v>
      </c>
      <c r="W69" s="517"/>
      <c r="X69" s="107">
        <v>26</v>
      </c>
    </row>
    <row r="70" spans="1:24" s="2" customFormat="1" x14ac:dyDescent="0.3">
      <c r="A70" s="558"/>
      <c r="B70" s="521"/>
      <c r="C70" s="521"/>
      <c r="D70" s="521"/>
      <c r="E70" s="521"/>
      <c r="F70" s="550"/>
      <c r="G70" s="553"/>
      <c r="H70" s="524"/>
      <c r="I70" s="527"/>
      <c r="J70" s="530"/>
      <c r="K70" s="533"/>
      <c r="L70" s="521"/>
      <c r="M70" s="521"/>
      <c r="N70" s="215">
        <v>45322</v>
      </c>
      <c r="O70" s="550"/>
      <c r="P70" s="208">
        <v>1413</v>
      </c>
      <c r="Q70" s="209">
        <v>45334</v>
      </c>
      <c r="R70" s="210"/>
      <c r="S70" s="208"/>
      <c r="T70" s="208"/>
      <c r="U70" s="524"/>
      <c r="V70" s="555"/>
      <c r="W70" s="518"/>
      <c r="X70" s="2">
        <v>26</v>
      </c>
    </row>
    <row r="71" spans="1:24" s="2" customFormat="1" x14ac:dyDescent="0.3">
      <c r="A71" s="558"/>
      <c r="B71" s="521"/>
      <c r="C71" s="521"/>
      <c r="D71" s="521"/>
      <c r="E71" s="521"/>
      <c r="F71" s="550"/>
      <c r="G71" s="553"/>
      <c r="H71" s="524"/>
      <c r="I71" s="527"/>
      <c r="J71" s="530"/>
      <c r="K71" s="533"/>
      <c r="L71" s="521"/>
      <c r="M71" s="521"/>
      <c r="N71" s="215">
        <v>45322</v>
      </c>
      <c r="O71" s="550"/>
      <c r="P71" s="208">
        <v>2998.4</v>
      </c>
      <c r="Q71" s="209">
        <v>45334</v>
      </c>
      <c r="R71" s="210"/>
      <c r="S71" s="208"/>
      <c r="T71" s="208"/>
      <c r="U71" s="524"/>
      <c r="V71" s="555"/>
      <c r="W71" s="518"/>
      <c r="X71" s="2">
        <v>26</v>
      </c>
    </row>
    <row r="72" spans="1:24" s="2" customFormat="1" x14ac:dyDescent="0.3">
      <c r="A72" s="558"/>
      <c r="B72" s="521"/>
      <c r="C72" s="521"/>
      <c r="D72" s="521"/>
      <c r="E72" s="521"/>
      <c r="F72" s="550"/>
      <c r="G72" s="553"/>
      <c r="H72" s="524"/>
      <c r="I72" s="527"/>
      <c r="J72" s="530"/>
      <c r="K72" s="533"/>
      <c r="L72" s="521"/>
      <c r="M72" s="521"/>
      <c r="N72" s="215">
        <v>45322</v>
      </c>
      <c r="O72" s="550"/>
      <c r="P72" s="208">
        <v>960</v>
      </c>
      <c r="Q72" s="209">
        <v>45334</v>
      </c>
      <c r="R72" s="210"/>
      <c r="S72" s="208"/>
      <c r="T72" s="208"/>
      <c r="U72" s="524"/>
      <c r="V72" s="555"/>
      <c r="W72" s="518"/>
      <c r="X72" s="2">
        <v>26</v>
      </c>
    </row>
    <row r="73" spans="1:24" s="2" customFormat="1" x14ac:dyDescent="0.3">
      <c r="A73" s="558"/>
      <c r="B73" s="521"/>
      <c r="C73" s="521"/>
      <c r="D73" s="521"/>
      <c r="E73" s="521"/>
      <c r="F73" s="550"/>
      <c r="G73" s="553"/>
      <c r="H73" s="524"/>
      <c r="I73" s="527"/>
      <c r="J73" s="530"/>
      <c r="K73" s="533"/>
      <c r="L73" s="521"/>
      <c r="M73" s="521"/>
      <c r="N73" s="215">
        <v>45322</v>
      </c>
      <c r="O73" s="550"/>
      <c r="P73" s="208">
        <v>10140</v>
      </c>
      <c r="Q73" s="209">
        <v>45334</v>
      </c>
      <c r="R73" s="210"/>
      <c r="S73" s="208"/>
      <c r="T73" s="208"/>
      <c r="U73" s="524"/>
      <c r="V73" s="555"/>
      <c r="W73" s="518"/>
      <c r="X73" s="2">
        <v>26</v>
      </c>
    </row>
    <row r="74" spans="1:24" s="2" customFormat="1" x14ac:dyDescent="0.3">
      <c r="A74" s="558"/>
      <c r="B74" s="521"/>
      <c r="C74" s="521"/>
      <c r="D74" s="521"/>
      <c r="E74" s="521"/>
      <c r="F74" s="550"/>
      <c r="G74" s="553"/>
      <c r="H74" s="524"/>
      <c r="I74" s="527"/>
      <c r="J74" s="530"/>
      <c r="K74" s="533"/>
      <c r="L74" s="521"/>
      <c r="M74" s="521"/>
      <c r="N74" s="215">
        <v>45322</v>
      </c>
      <c r="O74" s="550"/>
      <c r="P74" s="208">
        <v>17418.759999999998</v>
      </c>
      <c r="Q74" s="209">
        <v>45334</v>
      </c>
      <c r="R74" s="210"/>
      <c r="S74" s="208"/>
      <c r="T74" s="208"/>
      <c r="U74" s="524"/>
      <c r="V74" s="555"/>
      <c r="W74" s="518"/>
      <c r="X74" s="2">
        <v>26</v>
      </c>
    </row>
    <row r="75" spans="1:24" s="2" customFormat="1" x14ac:dyDescent="0.3">
      <c r="A75" s="558"/>
      <c r="B75" s="521"/>
      <c r="C75" s="521"/>
      <c r="D75" s="521"/>
      <c r="E75" s="521"/>
      <c r="F75" s="550"/>
      <c r="G75" s="553"/>
      <c r="H75" s="524"/>
      <c r="I75" s="527"/>
      <c r="J75" s="530"/>
      <c r="K75" s="533"/>
      <c r="L75" s="521"/>
      <c r="M75" s="521"/>
      <c r="N75" s="215">
        <v>45322</v>
      </c>
      <c r="O75" s="550"/>
      <c r="P75" s="208">
        <v>14251.84</v>
      </c>
      <c r="Q75" s="209">
        <v>45334</v>
      </c>
      <c r="R75" s="210"/>
      <c r="S75" s="208"/>
      <c r="T75" s="208"/>
      <c r="U75" s="524"/>
      <c r="V75" s="555"/>
      <c r="W75" s="518"/>
      <c r="X75" s="2">
        <v>26</v>
      </c>
    </row>
    <row r="76" spans="1:24" s="2" customFormat="1" x14ac:dyDescent="0.3">
      <c r="A76" s="558"/>
      <c r="B76" s="521"/>
      <c r="C76" s="521"/>
      <c r="D76" s="521"/>
      <c r="E76" s="521"/>
      <c r="F76" s="550"/>
      <c r="G76" s="553"/>
      <c r="H76" s="524"/>
      <c r="I76" s="527"/>
      <c r="J76" s="530"/>
      <c r="K76" s="533"/>
      <c r="L76" s="521"/>
      <c r="M76" s="521"/>
      <c r="N76" s="215">
        <v>45351</v>
      </c>
      <c r="O76" s="550"/>
      <c r="P76" s="208">
        <v>21747.68</v>
      </c>
      <c r="Q76" s="209">
        <v>45364</v>
      </c>
      <c r="R76" s="210"/>
      <c r="S76" s="208"/>
      <c r="T76" s="208"/>
      <c r="U76" s="524"/>
      <c r="V76" s="555"/>
      <c r="W76" s="518"/>
      <c r="X76" s="2">
        <v>26</v>
      </c>
    </row>
    <row r="77" spans="1:24" s="2" customFormat="1" x14ac:dyDescent="0.3">
      <c r="A77" s="558"/>
      <c r="B77" s="521"/>
      <c r="C77" s="521"/>
      <c r="D77" s="521"/>
      <c r="E77" s="521"/>
      <c r="F77" s="550"/>
      <c r="G77" s="553"/>
      <c r="H77" s="524"/>
      <c r="I77" s="527"/>
      <c r="J77" s="530"/>
      <c r="K77" s="533"/>
      <c r="L77" s="521"/>
      <c r="M77" s="521"/>
      <c r="N77" s="215">
        <v>45351</v>
      </c>
      <c r="O77" s="550"/>
      <c r="P77" s="208">
        <v>17793.72</v>
      </c>
      <c r="Q77" s="209">
        <v>45364</v>
      </c>
      <c r="R77" s="210"/>
      <c r="S77" s="208"/>
      <c r="T77" s="208"/>
      <c r="U77" s="524"/>
      <c r="V77" s="555"/>
      <c r="W77" s="518"/>
      <c r="X77" s="2">
        <v>26</v>
      </c>
    </row>
    <row r="78" spans="1:24" s="2" customFormat="1" x14ac:dyDescent="0.3">
      <c r="A78" s="558"/>
      <c r="B78" s="521"/>
      <c r="C78" s="521"/>
      <c r="D78" s="521"/>
      <c r="E78" s="521"/>
      <c r="F78" s="550"/>
      <c r="G78" s="553"/>
      <c r="H78" s="524"/>
      <c r="I78" s="527"/>
      <c r="J78" s="530"/>
      <c r="K78" s="533"/>
      <c r="L78" s="521"/>
      <c r="M78" s="521"/>
      <c r="N78" s="215">
        <v>45351</v>
      </c>
      <c r="O78" s="550"/>
      <c r="P78" s="208">
        <v>12660</v>
      </c>
      <c r="Q78" s="209">
        <v>45364</v>
      </c>
      <c r="R78" s="210"/>
      <c r="S78" s="208"/>
      <c r="T78" s="208"/>
      <c r="U78" s="524"/>
      <c r="V78" s="555"/>
      <c r="W78" s="518"/>
      <c r="X78" s="2">
        <v>26</v>
      </c>
    </row>
    <row r="79" spans="1:24" s="2" customFormat="1" x14ac:dyDescent="0.3">
      <c r="A79" s="558"/>
      <c r="B79" s="521"/>
      <c r="C79" s="521"/>
      <c r="D79" s="521"/>
      <c r="E79" s="521"/>
      <c r="F79" s="550"/>
      <c r="G79" s="553"/>
      <c r="H79" s="524"/>
      <c r="I79" s="527"/>
      <c r="J79" s="530"/>
      <c r="K79" s="533"/>
      <c r="L79" s="521"/>
      <c r="M79" s="521"/>
      <c r="N79" s="215">
        <v>45351</v>
      </c>
      <c r="O79" s="550"/>
      <c r="P79" s="208">
        <v>1295.24</v>
      </c>
      <c r="Q79" s="209">
        <v>45364</v>
      </c>
      <c r="R79" s="210"/>
      <c r="S79" s="208"/>
      <c r="T79" s="208"/>
      <c r="U79" s="524"/>
      <c r="V79" s="555"/>
      <c r="W79" s="518"/>
      <c r="X79" s="2">
        <v>26</v>
      </c>
    </row>
    <row r="80" spans="1:24" s="2" customFormat="1" x14ac:dyDescent="0.3">
      <c r="A80" s="558"/>
      <c r="B80" s="521"/>
      <c r="C80" s="521"/>
      <c r="D80" s="521"/>
      <c r="E80" s="521"/>
      <c r="F80" s="550"/>
      <c r="G80" s="553"/>
      <c r="H80" s="524"/>
      <c r="I80" s="527"/>
      <c r="J80" s="530"/>
      <c r="K80" s="533"/>
      <c r="L80" s="521"/>
      <c r="M80" s="521"/>
      <c r="N80" s="215">
        <v>45351</v>
      </c>
      <c r="O80" s="550"/>
      <c r="P80" s="208">
        <v>1059.76</v>
      </c>
      <c r="Q80" s="209">
        <v>45364</v>
      </c>
      <c r="R80" s="210"/>
      <c r="S80" s="208"/>
      <c r="T80" s="208"/>
      <c r="U80" s="524"/>
      <c r="V80" s="555"/>
      <c r="W80" s="518"/>
      <c r="X80" s="2">
        <v>26</v>
      </c>
    </row>
    <row r="81" spans="1:24" s="2" customFormat="1" x14ac:dyDescent="0.3">
      <c r="A81" s="558"/>
      <c r="B81" s="521"/>
      <c r="C81" s="521"/>
      <c r="D81" s="521"/>
      <c r="E81" s="521"/>
      <c r="F81" s="550"/>
      <c r="G81" s="553"/>
      <c r="H81" s="524"/>
      <c r="I81" s="527"/>
      <c r="J81" s="530"/>
      <c r="K81" s="533"/>
      <c r="L81" s="521"/>
      <c r="M81" s="521"/>
      <c r="N81" s="215">
        <v>45351</v>
      </c>
      <c r="O81" s="550"/>
      <c r="P81" s="208">
        <v>750</v>
      </c>
      <c r="Q81" s="209">
        <v>45364</v>
      </c>
      <c r="R81" s="210"/>
      <c r="S81" s="208"/>
      <c r="T81" s="208"/>
      <c r="U81" s="524"/>
      <c r="V81" s="555"/>
      <c r="W81" s="518"/>
      <c r="X81" s="2">
        <v>26</v>
      </c>
    </row>
    <row r="82" spans="1:24" s="2" customFormat="1" x14ac:dyDescent="0.3">
      <c r="A82" s="558"/>
      <c r="B82" s="521"/>
      <c r="C82" s="521"/>
      <c r="D82" s="521"/>
      <c r="E82" s="521"/>
      <c r="F82" s="550"/>
      <c r="G82" s="553"/>
      <c r="H82" s="524"/>
      <c r="I82" s="527"/>
      <c r="J82" s="530"/>
      <c r="K82" s="533"/>
      <c r="L82" s="521"/>
      <c r="M82" s="521"/>
      <c r="N82" s="215">
        <v>45351</v>
      </c>
      <c r="O82" s="550"/>
      <c r="P82" s="208">
        <v>282.60000000000002</v>
      </c>
      <c r="Q82" s="209">
        <v>45364</v>
      </c>
      <c r="R82" s="210"/>
      <c r="S82" s="208"/>
      <c r="T82" s="208"/>
      <c r="U82" s="524"/>
      <c r="V82" s="555"/>
      <c r="W82" s="518"/>
      <c r="X82" s="2">
        <v>26</v>
      </c>
    </row>
    <row r="83" spans="1:24" s="2" customFormat="1" x14ac:dyDescent="0.3">
      <c r="A83" s="558"/>
      <c r="B83" s="521"/>
      <c r="C83" s="521"/>
      <c r="D83" s="521"/>
      <c r="E83" s="521"/>
      <c r="F83" s="550"/>
      <c r="G83" s="553"/>
      <c r="H83" s="524"/>
      <c r="I83" s="527"/>
      <c r="J83" s="530"/>
      <c r="K83" s="533"/>
      <c r="L83" s="521"/>
      <c r="M83" s="521"/>
      <c r="N83" s="215">
        <v>45351</v>
      </c>
      <c r="O83" s="550"/>
      <c r="P83" s="208">
        <v>90</v>
      </c>
      <c r="Q83" s="209">
        <v>45364</v>
      </c>
      <c r="R83" s="210"/>
      <c r="S83" s="208"/>
      <c r="T83" s="208"/>
      <c r="U83" s="524"/>
      <c r="V83" s="555"/>
      <c r="W83" s="518"/>
      <c r="X83" s="2">
        <v>26</v>
      </c>
    </row>
    <row r="84" spans="1:24" s="2" customFormat="1" x14ac:dyDescent="0.3">
      <c r="A84" s="558"/>
      <c r="B84" s="521"/>
      <c r="C84" s="521"/>
      <c r="D84" s="521"/>
      <c r="E84" s="521"/>
      <c r="F84" s="550"/>
      <c r="G84" s="553"/>
      <c r="H84" s="524"/>
      <c r="I84" s="527"/>
      <c r="J84" s="530"/>
      <c r="K84" s="533"/>
      <c r="L84" s="521"/>
      <c r="M84" s="521"/>
      <c r="N84" s="215">
        <v>45351</v>
      </c>
      <c r="O84" s="550"/>
      <c r="P84" s="208">
        <v>2061.4</v>
      </c>
      <c r="Q84" s="209">
        <v>45364</v>
      </c>
      <c r="R84" s="210"/>
      <c r="S84" s="208"/>
      <c r="T84" s="208"/>
      <c r="U84" s="524"/>
      <c r="V84" s="555"/>
      <c r="W84" s="518"/>
      <c r="X84" s="2">
        <v>26</v>
      </c>
    </row>
    <row r="85" spans="1:24" s="2" customFormat="1" x14ac:dyDescent="0.3">
      <c r="A85" s="558"/>
      <c r="B85" s="521"/>
      <c r="C85" s="521"/>
      <c r="D85" s="521"/>
      <c r="E85" s="521"/>
      <c r="F85" s="550"/>
      <c r="G85" s="553"/>
      <c r="H85" s="524"/>
      <c r="I85" s="527"/>
      <c r="J85" s="530"/>
      <c r="K85" s="533"/>
      <c r="L85" s="521"/>
      <c r="M85" s="521"/>
      <c r="N85" s="215">
        <v>45351</v>
      </c>
      <c r="O85" s="550"/>
      <c r="P85" s="208">
        <v>660</v>
      </c>
      <c r="Q85" s="209">
        <v>45364</v>
      </c>
      <c r="R85" s="210"/>
      <c r="S85" s="208"/>
      <c r="T85" s="208"/>
      <c r="U85" s="524"/>
      <c r="V85" s="555"/>
      <c r="W85" s="518"/>
      <c r="X85" s="2">
        <v>26</v>
      </c>
    </row>
    <row r="86" spans="1:24" s="2" customFormat="1" x14ac:dyDescent="0.3">
      <c r="A86" s="558"/>
      <c r="B86" s="521"/>
      <c r="C86" s="521"/>
      <c r="D86" s="521"/>
      <c r="E86" s="521"/>
      <c r="F86" s="550"/>
      <c r="G86" s="553"/>
      <c r="H86" s="524"/>
      <c r="I86" s="527"/>
      <c r="J86" s="530"/>
      <c r="K86" s="533"/>
      <c r="L86" s="521"/>
      <c r="M86" s="521"/>
      <c r="N86" s="215">
        <v>45373</v>
      </c>
      <c r="O86" s="550"/>
      <c r="P86" s="208">
        <v>840</v>
      </c>
      <c r="Q86" s="209">
        <v>45387</v>
      </c>
      <c r="R86" s="210"/>
      <c r="S86" s="208"/>
      <c r="T86" s="208"/>
      <c r="U86" s="524"/>
      <c r="V86" s="555"/>
      <c r="W86" s="518"/>
      <c r="X86" s="2">
        <v>26</v>
      </c>
    </row>
    <row r="87" spans="1:24" s="2" customFormat="1" x14ac:dyDescent="0.3">
      <c r="A87" s="558"/>
      <c r="B87" s="521"/>
      <c r="C87" s="521"/>
      <c r="D87" s="521"/>
      <c r="E87" s="521"/>
      <c r="F87" s="550"/>
      <c r="G87" s="553"/>
      <c r="H87" s="524"/>
      <c r="I87" s="527"/>
      <c r="J87" s="530"/>
      <c r="K87" s="533"/>
      <c r="L87" s="521"/>
      <c r="M87" s="521"/>
      <c r="N87" s="215">
        <v>45373</v>
      </c>
      <c r="O87" s="550"/>
      <c r="P87" s="208">
        <v>9660</v>
      </c>
      <c r="Q87" s="209">
        <v>45387</v>
      </c>
      <c r="R87" s="210"/>
      <c r="S87" s="208"/>
      <c r="T87" s="208"/>
      <c r="U87" s="524"/>
      <c r="V87" s="555"/>
      <c r="W87" s="518"/>
      <c r="X87" s="2">
        <v>26</v>
      </c>
    </row>
    <row r="88" spans="1:24" s="2" customFormat="1" x14ac:dyDescent="0.3">
      <c r="A88" s="558"/>
      <c r="B88" s="521"/>
      <c r="C88" s="521"/>
      <c r="D88" s="521"/>
      <c r="E88" s="521"/>
      <c r="F88" s="550"/>
      <c r="G88" s="553"/>
      <c r="H88" s="524"/>
      <c r="I88" s="527"/>
      <c r="J88" s="530"/>
      <c r="K88" s="533"/>
      <c r="L88" s="521"/>
      <c r="M88" s="521"/>
      <c r="N88" s="215">
        <v>45373</v>
      </c>
      <c r="O88" s="550"/>
      <c r="P88" s="208">
        <v>780</v>
      </c>
      <c r="Q88" s="209">
        <v>45387</v>
      </c>
      <c r="R88" s="210"/>
      <c r="S88" s="208"/>
      <c r="T88" s="208"/>
      <c r="U88" s="524"/>
      <c r="V88" s="555"/>
      <c r="W88" s="518"/>
      <c r="X88" s="2">
        <v>26</v>
      </c>
    </row>
    <row r="89" spans="1:24" s="2" customFormat="1" x14ac:dyDescent="0.3">
      <c r="A89" s="558"/>
      <c r="B89" s="521"/>
      <c r="C89" s="521"/>
      <c r="D89" s="521"/>
      <c r="E89" s="521"/>
      <c r="F89" s="550"/>
      <c r="G89" s="553"/>
      <c r="H89" s="524"/>
      <c r="I89" s="527"/>
      <c r="J89" s="530"/>
      <c r="K89" s="533"/>
      <c r="L89" s="521"/>
      <c r="M89" s="521"/>
      <c r="N89" s="215">
        <v>45373</v>
      </c>
      <c r="O89" s="550"/>
      <c r="P89" s="208">
        <v>2436.1999999999998</v>
      </c>
      <c r="Q89" s="209">
        <v>45387</v>
      </c>
      <c r="R89" s="210"/>
      <c r="S89" s="208"/>
      <c r="T89" s="208"/>
      <c r="U89" s="524"/>
      <c r="V89" s="555"/>
      <c r="W89" s="518"/>
      <c r="X89" s="2">
        <v>26</v>
      </c>
    </row>
    <row r="90" spans="1:24" s="2" customFormat="1" x14ac:dyDescent="0.3">
      <c r="A90" s="558"/>
      <c r="B90" s="521"/>
      <c r="C90" s="521"/>
      <c r="D90" s="521"/>
      <c r="E90" s="521"/>
      <c r="F90" s="550"/>
      <c r="G90" s="553"/>
      <c r="H90" s="524"/>
      <c r="I90" s="527"/>
      <c r="J90" s="530"/>
      <c r="K90" s="533"/>
      <c r="L90" s="521"/>
      <c r="M90" s="521"/>
      <c r="N90" s="215">
        <v>45373</v>
      </c>
      <c r="O90" s="550"/>
      <c r="P90" s="208">
        <v>1450.67</v>
      </c>
      <c r="Q90" s="209">
        <v>45387</v>
      </c>
      <c r="R90" s="210"/>
      <c r="S90" s="208"/>
      <c r="T90" s="208"/>
      <c r="U90" s="524"/>
      <c r="V90" s="555"/>
      <c r="W90" s="518"/>
      <c r="X90" s="2">
        <v>26</v>
      </c>
    </row>
    <row r="91" spans="1:24" s="2" customFormat="1" x14ac:dyDescent="0.3">
      <c r="A91" s="558"/>
      <c r="B91" s="521"/>
      <c r="C91" s="521"/>
      <c r="D91" s="521"/>
      <c r="E91" s="521"/>
      <c r="F91" s="550"/>
      <c r="G91" s="553"/>
      <c r="H91" s="524"/>
      <c r="I91" s="527"/>
      <c r="J91" s="530"/>
      <c r="K91" s="533"/>
      <c r="L91" s="521"/>
      <c r="M91" s="521"/>
      <c r="N91" s="215">
        <v>45373</v>
      </c>
      <c r="O91" s="550"/>
      <c r="P91" s="208">
        <v>1186.93</v>
      </c>
      <c r="Q91" s="209">
        <v>45387</v>
      </c>
      <c r="R91" s="210"/>
      <c r="S91" s="208"/>
      <c r="T91" s="208"/>
      <c r="U91" s="524"/>
      <c r="V91" s="555"/>
      <c r="W91" s="518"/>
      <c r="X91" s="2">
        <v>26</v>
      </c>
    </row>
    <row r="92" spans="1:24" s="2" customFormat="1" x14ac:dyDescent="0.3">
      <c r="A92" s="558"/>
      <c r="B92" s="521"/>
      <c r="C92" s="521"/>
      <c r="D92" s="521"/>
      <c r="E92" s="521"/>
      <c r="F92" s="550"/>
      <c r="G92" s="553"/>
      <c r="H92" s="524"/>
      <c r="I92" s="527"/>
      <c r="J92" s="530"/>
      <c r="K92" s="533"/>
      <c r="L92" s="521"/>
      <c r="M92" s="521"/>
      <c r="N92" s="215">
        <v>45373</v>
      </c>
      <c r="O92" s="550"/>
      <c r="P92" s="208">
        <v>16594.2</v>
      </c>
      <c r="Q92" s="209">
        <v>45387</v>
      </c>
      <c r="R92" s="210"/>
      <c r="S92" s="208"/>
      <c r="T92" s="208"/>
      <c r="U92" s="524"/>
      <c r="V92" s="555"/>
      <c r="W92" s="518"/>
      <c r="X92" s="2">
        <v>26</v>
      </c>
    </row>
    <row r="93" spans="1:24" s="2" customFormat="1" x14ac:dyDescent="0.3">
      <c r="A93" s="559"/>
      <c r="B93" s="522"/>
      <c r="C93" s="522"/>
      <c r="D93" s="522"/>
      <c r="E93" s="522"/>
      <c r="F93" s="551"/>
      <c r="G93" s="560"/>
      <c r="H93" s="525"/>
      <c r="I93" s="528"/>
      <c r="J93" s="531"/>
      <c r="K93" s="534"/>
      <c r="L93" s="522"/>
      <c r="M93" s="522"/>
      <c r="N93" s="215">
        <v>45373</v>
      </c>
      <c r="O93" s="551"/>
      <c r="P93" s="211">
        <v>13577.2</v>
      </c>
      <c r="Q93" s="209">
        <v>45387</v>
      </c>
      <c r="R93" s="213"/>
      <c r="S93" s="211"/>
      <c r="T93" s="211"/>
      <c r="U93" s="525"/>
      <c r="V93" s="556"/>
      <c r="W93" s="519"/>
      <c r="X93" s="2">
        <v>26</v>
      </c>
    </row>
    <row r="94" spans="1:24" s="107" customFormat="1" ht="108" customHeight="1" x14ac:dyDescent="0.3">
      <c r="A94" s="557">
        <v>10</v>
      </c>
      <c r="B94" s="520" t="s">
        <v>56</v>
      </c>
      <c r="C94" s="520" t="s">
        <v>146</v>
      </c>
      <c r="D94" s="520" t="s">
        <v>147</v>
      </c>
      <c r="E94" s="520" t="s">
        <v>114</v>
      </c>
      <c r="F94" s="549">
        <v>45289</v>
      </c>
      <c r="G94" s="552" t="s">
        <v>202</v>
      </c>
      <c r="H94" s="523">
        <v>121197.6</v>
      </c>
      <c r="I94" s="526">
        <f>IF(X94 = 27, H94 + SUM(S94:S99) - SUM(T94:T99) - SUM(P94:P99) - V94,0)</f>
        <v>0</v>
      </c>
      <c r="J94" s="529">
        <v>2353020735</v>
      </c>
      <c r="K94" s="532" t="s">
        <v>156</v>
      </c>
      <c r="L94" s="520" t="s">
        <v>146</v>
      </c>
      <c r="M94" s="520"/>
      <c r="N94" s="214">
        <v>45322</v>
      </c>
      <c r="O94" s="549" t="s">
        <v>165</v>
      </c>
      <c r="P94" s="205">
        <v>17262</v>
      </c>
      <c r="Q94" s="206">
        <v>45334</v>
      </c>
      <c r="R94" s="207"/>
      <c r="S94" s="205"/>
      <c r="T94" s="205"/>
      <c r="U94" s="523" t="s">
        <v>279</v>
      </c>
      <c r="V94" s="554">
        <v>52056</v>
      </c>
      <c r="W94" s="517"/>
      <c r="X94" s="107">
        <v>27</v>
      </c>
    </row>
    <row r="95" spans="1:24" s="2" customFormat="1" x14ac:dyDescent="0.3">
      <c r="A95" s="558"/>
      <c r="B95" s="521"/>
      <c r="C95" s="521"/>
      <c r="D95" s="521"/>
      <c r="E95" s="521"/>
      <c r="F95" s="550"/>
      <c r="G95" s="553"/>
      <c r="H95" s="524"/>
      <c r="I95" s="527"/>
      <c r="J95" s="530"/>
      <c r="K95" s="533"/>
      <c r="L95" s="521"/>
      <c r="M95" s="521"/>
      <c r="N95" s="215">
        <v>45322</v>
      </c>
      <c r="O95" s="550"/>
      <c r="P95" s="208">
        <v>6822.4</v>
      </c>
      <c r="Q95" s="209">
        <v>45334</v>
      </c>
      <c r="R95" s="210"/>
      <c r="S95" s="208"/>
      <c r="T95" s="208"/>
      <c r="U95" s="524"/>
      <c r="V95" s="555"/>
      <c r="W95" s="518"/>
      <c r="X95" s="2">
        <v>27</v>
      </c>
    </row>
    <row r="96" spans="1:24" s="2" customFormat="1" x14ac:dyDescent="0.3">
      <c r="A96" s="558"/>
      <c r="B96" s="521"/>
      <c r="C96" s="521"/>
      <c r="D96" s="521"/>
      <c r="E96" s="521"/>
      <c r="F96" s="550"/>
      <c r="G96" s="553"/>
      <c r="H96" s="524"/>
      <c r="I96" s="527"/>
      <c r="J96" s="530"/>
      <c r="K96" s="533"/>
      <c r="L96" s="521"/>
      <c r="M96" s="521"/>
      <c r="N96" s="215">
        <v>45351</v>
      </c>
      <c r="O96" s="550"/>
      <c r="P96" s="208">
        <v>19044</v>
      </c>
      <c r="Q96" s="209">
        <v>45364</v>
      </c>
      <c r="R96" s="210"/>
      <c r="S96" s="208"/>
      <c r="T96" s="208"/>
      <c r="U96" s="524"/>
      <c r="V96" s="555"/>
      <c r="W96" s="518"/>
      <c r="X96" s="2">
        <v>27</v>
      </c>
    </row>
    <row r="97" spans="1:24" s="2" customFormat="1" x14ac:dyDescent="0.3">
      <c r="A97" s="558"/>
      <c r="B97" s="521"/>
      <c r="C97" s="521"/>
      <c r="D97" s="521"/>
      <c r="E97" s="521"/>
      <c r="F97" s="550"/>
      <c r="G97" s="553"/>
      <c r="H97" s="524"/>
      <c r="I97" s="527"/>
      <c r="J97" s="530"/>
      <c r="K97" s="533"/>
      <c r="L97" s="521"/>
      <c r="M97" s="521"/>
      <c r="N97" s="215">
        <v>45351</v>
      </c>
      <c r="O97" s="550"/>
      <c r="P97" s="208">
        <v>7321.6</v>
      </c>
      <c r="Q97" s="209">
        <v>45364</v>
      </c>
      <c r="R97" s="210"/>
      <c r="S97" s="208"/>
      <c r="T97" s="208"/>
      <c r="U97" s="524"/>
      <c r="V97" s="555"/>
      <c r="W97" s="518"/>
      <c r="X97" s="2">
        <v>27</v>
      </c>
    </row>
    <row r="98" spans="1:24" s="2" customFormat="1" x14ac:dyDescent="0.3">
      <c r="A98" s="558"/>
      <c r="B98" s="521"/>
      <c r="C98" s="521"/>
      <c r="D98" s="521"/>
      <c r="E98" s="521"/>
      <c r="F98" s="550"/>
      <c r="G98" s="553"/>
      <c r="H98" s="524"/>
      <c r="I98" s="527"/>
      <c r="J98" s="530"/>
      <c r="K98" s="533"/>
      <c r="L98" s="521"/>
      <c r="M98" s="521"/>
      <c r="N98" s="215">
        <v>45373</v>
      </c>
      <c r="O98" s="550"/>
      <c r="P98" s="208">
        <v>13554</v>
      </c>
      <c r="Q98" s="209">
        <v>45387</v>
      </c>
      <c r="R98" s="210"/>
      <c r="S98" s="208"/>
      <c r="T98" s="208"/>
      <c r="U98" s="524"/>
      <c r="V98" s="555"/>
      <c r="W98" s="518"/>
      <c r="X98" s="2">
        <v>27</v>
      </c>
    </row>
    <row r="99" spans="1:24" s="2" customFormat="1" x14ac:dyDescent="0.3">
      <c r="A99" s="559"/>
      <c r="B99" s="522"/>
      <c r="C99" s="522"/>
      <c r="D99" s="522"/>
      <c r="E99" s="522"/>
      <c r="F99" s="551"/>
      <c r="G99" s="560"/>
      <c r="H99" s="525"/>
      <c r="I99" s="528"/>
      <c r="J99" s="531"/>
      <c r="K99" s="534"/>
      <c r="L99" s="522"/>
      <c r="M99" s="522"/>
      <c r="N99" s="216">
        <v>45373</v>
      </c>
      <c r="O99" s="551"/>
      <c r="P99" s="211">
        <v>5137.6000000000004</v>
      </c>
      <c r="Q99" s="212">
        <v>45387</v>
      </c>
      <c r="R99" s="213"/>
      <c r="S99" s="211"/>
      <c r="T99" s="211"/>
      <c r="U99" s="525"/>
      <c r="V99" s="556"/>
      <c r="W99" s="519"/>
      <c r="X99" s="2">
        <v>27</v>
      </c>
    </row>
    <row r="100" spans="1:24" s="107" customFormat="1" ht="162" customHeight="1" x14ac:dyDescent="0.3">
      <c r="A100" s="557">
        <v>11</v>
      </c>
      <c r="B100" s="520" t="s">
        <v>56</v>
      </c>
      <c r="C100" s="520" t="s">
        <v>146</v>
      </c>
      <c r="D100" s="520" t="s">
        <v>147</v>
      </c>
      <c r="E100" s="520" t="s">
        <v>203</v>
      </c>
      <c r="F100" s="549">
        <v>45290</v>
      </c>
      <c r="G100" s="552" t="s">
        <v>204</v>
      </c>
      <c r="H100" s="523">
        <v>45600</v>
      </c>
      <c r="I100" s="526">
        <f>IF(X100 = 28, H100 + SUM(S100:S105) - SUM(T100:T105) - SUM(P100:P105) - V100,0)</f>
        <v>0</v>
      </c>
      <c r="J100" s="529">
        <v>235305769122</v>
      </c>
      <c r="K100" s="532" t="s">
        <v>160</v>
      </c>
      <c r="L100" s="520" t="s">
        <v>146</v>
      </c>
      <c r="M100" s="520"/>
      <c r="N100" s="214">
        <v>45322</v>
      </c>
      <c r="O100" s="549" t="s">
        <v>194</v>
      </c>
      <c r="P100" s="205">
        <v>5600</v>
      </c>
      <c r="Q100" s="206">
        <v>45330</v>
      </c>
      <c r="R100" s="207"/>
      <c r="S100" s="205"/>
      <c r="T100" s="205"/>
      <c r="U100" s="523">
        <v>45363</v>
      </c>
      <c r="V100" s="554">
        <v>6590</v>
      </c>
      <c r="W100" s="517"/>
      <c r="X100" s="107">
        <v>28</v>
      </c>
    </row>
    <row r="101" spans="1:24" s="2" customFormat="1" x14ac:dyDescent="0.3">
      <c r="A101" s="558"/>
      <c r="B101" s="521"/>
      <c r="C101" s="521"/>
      <c r="D101" s="521"/>
      <c r="E101" s="521"/>
      <c r="F101" s="550"/>
      <c r="G101" s="553"/>
      <c r="H101" s="524"/>
      <c r="I101" s="527"/>
      <c r="J101" s="530"/>
      <c r="K101" s="533"/>
      <c r="L101" s="521"/>
      <c r="M101" s="521"/>
      <c r="N101" s="215">
        <v>45322</v>
      </c>
      <c r="O101" s="550"/>
      <c r="P101" s="208">
        <v>6240</v>
      </c>
      <c r="Q101" s="209">
        <v>45330</v>
      </c>
      <c r="R101" s="210"/>
      <c r="S101" s="208"/>
      <c r="T101" s="208"/>
      <c r="U101" s="524"/>
      <c r="V101" s="555"/>
      <c r="W101" s="518"/>
      <c r="X101" s="2">
        <v>28</v>
      </c>
    </row>
    <row r="102" spans="1:24" s="2" customFormat="1" x14ac:dyDescent="0.3">
      <c r="A102" s="558"/>
      <c r="B102" s="521"/>
      <c r="C102" s="521"/>
      <c r="D102" s="521"/>
      <c r="E102" s="521"/>
      <c r="F102" s="550"/>
      <c r="G102" s="553"/>
      <c r="H102" s="524"/>
      <c r="I102" s="527"/>
      <c r="J102" s="530"/>
      <c r="K102" s="533"/>
      <c r="L102" s="521"/>
      <c r="M102" s="521"/>
      <c r="N102" s="215">
        <v>45322</v>
      </c>
      <c r="O102" s="550"/>
      <c r="P102" s="208">
        <v>8060</v>
      </c>
      <c r="Q102" s="209">
        <v>45330</v>
      </c>
      <c r="R102" s="210"/>
      <c r="S102" s="208"/>
      <c r="T102" s="208"/>
      <c r="U102" s="524"/>
      <c r="V102" s="555"/>
      <c r="W102" s="518"/>
      <c r="X102" s="2">
        <v>28</v>
      </c>
    </row>
    <row r="103" spans="1:24" s="2" customFormat="1" x14ac:dyDescent="0.3">
      <c r="A103" s="558"/>
      <c r="B103" s="521"/>
      <c r="C103" s="521"/>
      <c r="D103" s="521"/>
      <c r="E103" s="521"/>
      <c r="F103" s="550"/>
      <c r="G103" s="553"/>
      <c r="H103" s="524"/>
      <c r="I103" s="527"/>
      <c r="J103" s="530"/>
      <c r="K103" s="533"/>
      <c r="L103" s="521"/>
      <c r="M103" s="521"/>
      <c r="N103" s="215">
        <v>45351</v>
      </c>
      <c r="O103" s="550"/>
      <c r="P103" s="208">
        <v>5460</v>
      </c>
      <c r="Q103" s="209">
        <v>45357</v>
      </c>
      <c r="R103" s="210"/>
      <c r="S103" s="208"/>
      <c r="T103" s="208"/>
      <c r="U103" s="524"/>
      <c r="V103" s="555"/>
      <c r="W103" s="518"/>
      <c r="X103" s="2">
        <v>28</v>
      </c>
    </row>
    <row r="104" spans="1:24" s="2" customFormat="1" x14ac:dyDescent="0.3">
      <c r="A104" s="558"/>
      <c r="B104" s="521"/>
      <c r="C104" s="521"/>
      <c r="D104" s="521"/>
      <c r="E104" s="521"/>
      <c r="F104" s="550"/>
      <c r="G104" s="553"/>
      <c r="H104" s="524"/>
      <c r="I104" s="527"/>
      <c r="J104" s="530"/>
      <c r="K104" s="533"/>
      <c r="L104" s="521"/>
      <c r="M104" s="521"/>
      <c r="N104" s="215">
        <v>45351</v>
      </c>
      <c r="O104" s="550"/>
      <c r="P104" s="208">
        <v>6240</v>
      </c>
      <c r="Q104" s="209">
        <v>45357</v>
      </c>
      <c r="R104" s="210"/>
      <c r="S104" s="208"/>
      <c r="T104" s="208"/>
      <c r="U104" s="524"/>
      <c r="V104" s="555"/>
      <c r="W104" s="518"/>
      <c r="X104" s="2">
        <v>28</v>
      </c>
    </row>
    <row r="105" spans="1:24" s="2" customFormat="1" x14ac:dyDescent="0.3">
      <c r="A105" s="558"/>
      <c r="B105" s="521"/>
      <c r="C105" s="521"/>
      <c r="D105" s="521"/>
      <c r="E105" s="521"/>
      <c r="F105" s="550"/>
      <c r="G105" s="553"/>
      <c r="H105" s="524"/>
      <c r="I105" s="527"/>
      <c r="J105" s="530"/>
      <c r="K105" s="533"/>
      <c r="L105" s="521"/>
      <c r="M105" s="521"/>
      <c r="N105" s="215">
        <v>45351</v>
      </c>
      <c r="O105" s="550"/>
      <c r="P105" s="208">
        <v>7410</v>
      </c>
      <c r="Q105" s="209">
        <v>45357</v>
      </c>
      <c r="R105" s="210"/>
      <c r="S105" s="208"/>
      <c r="T105" s="208"/>
      <c r="U105" s="524"/>
      <c r="V105" s="555"/>
      <c r="W105" s="518"/>
      <c r="X105" s="2">
        <v>28</v>
      </c>
    </row>
    <row r="106" spans="1:24" s="107" customFormat="1" ht="131.25" customHeight="1" x14ac:dyDescent="0.3">
      <c r="A106" s="557">
        <v>12</v>
      </c>
      <c r="B106" s="520" t="s">
        <v>56</v>
      </c>
      <c r="C106" s="520" t="s">
        <v>146</v>
      </c>
      <c r="D106" s="520" t="s">
        <v>147</v>
      </c>
      <c r="E106" s="520" t="s">
        <v>117</v>
      </c>
      <c r="F106" s="549">
        <v>45309</v>
      </c>
      <c r="G106" s="552" t="s">
        <v>205</v>
      </c>
      <c r="H106" s="523">
        <v>26568</v>
      </c>
      <c r="I106" s="526">
        <f>IF(X106 = 29, H106 + SUM(S106:S111) - SUM(T106:T111) - SUM(P106:P111) - V106,0)</f>
        <v>0</v>
      </c>
      <c r="J106" s="529">
        <v>2353020735</v>
      </c>
      <c r="K106" s="532" t="s">
        <v>156</v>
      </c>
      <c r="L106" s="520" t="s">
        <v>146</v>
      </c>
      <c r="M106" s="520"/>
      <c r="N106" s="214">
        <v>45322</v>
      </c>
      <c r="O106" s="549" t="s">
        <v>194</v>
      </c>
      <c r="P106" s="205">
        <v>5487</v>
      </c>
      <c r="Q106" s="206">
        <v>45334</v>
      </c>
      <c r="R106" s="207"/>
      <c r="S106" s="205"/>
      <c r="T106" s="205"/>
      <c r="U106" s="523" t="s">
        <v>279</v>
      </c>
      <c r="V106" s="554">
        <v>6765</v>
      </c>
      <c r="W106" s="517"/>
      <c r="X106" s="107">
        <v>29</v>
      </c>
    </row>
    <row r="107" spans="1:24" s="2" customFormat="1" x14ac:dyDescent="0.3">
      <c r="A107" s="558"/>
      <c r="B107" s="521"/>
      <c r="C107" s="521"/>
      <c r="D107" s="521"/>
      <c r="E107" s="521"/>
      <c r="F107" s="550"/>
      <c r="G107" s="553"/>
      <c r="H107" s="524"/>
      <c r="I107" s="527"/>
      <c r="J107" s="530"/>
      <c r="K107" s="533"/>
      <c r="L107" s="521"/>
      <c r="M107" s="521"/>
      <c r="N107" s="215">
        <v>45322</v>
      </c>
      <c r="O107" s="550"/>
      <c r="P107" s="208">
        <v>1770</v>
      </c>
      <c r="Q107" s="209">
        <v>45334</v>
      </c>
      <c r="R107" s="210"/>
      <c r="S107" s="208"/>
      <c r="T107" s="208"/>
      <c r="U107" s="524"/>
      <c r="V107" s="555"/>
      <c r="W107" s="518"/>
      <c r="X107" s="2">
        <v>29</v>
      </c>
    </row>
    <row r="108" spans="1:24" s="2" customFormat="1" x14ac:dyDescent="0.3">
      <c r="A108" s="558"/>
      <c r="B108" s="521"/>
      <c r="C108" s="521"/>
      <c r="D108" s="521"/>
      <c r="E108" s="521"/>
      <c r="F108" s="550"/>
      <c r="G108" s="553"/>
      <c r="H108" s="524"/>
      <c r="I108" s="527"/>
      <c r="J108" s="530"/>
      <c r="K108" s="533"/>
      <c r="L108" s="521"/>
      <c r="M108" s="521"/>
      <c r="N108" s="215">
        <v>45351</v>
      </c>
      <c r="O108" s="550"/>
      <c r="P108" s="208">
        <v>5394</v>
      </c>
      <c r="Q108" s="209">
        <v>45364</v>
      </c>
      <c r="R108" s="210"/>
      <c r="S108" s="208"/>
      <c r="T108" s="208"/>
      <c r="U108" s="524"/>
      <c r="V108" s="555"/>
      <c r="W108" s="518"/>
      <c r="X108" s="2">
        <v>29</v>
      </c>
    </row>
    <row r="109" spans="1:24" s="2" customFormat="1" x14ac:dyDescent="0.3">
      <c r="A109" s="558"/>
      <c r="B109" s="521"/>
      <c r="C109" s="521"/>
      <c r="D109" s="521"/>
      <c r="E109" s="521"/>
      <c r="F109" s="550"/>
      <c r="G109" s="553"/>
      <c r="H109" s="524"/>
      <c r="I109" s="527"/>
      <c r="J109" s="530"/>
      <c r="K109" s="533"/>
      <c r="L109" s="521"/>
      <c r="M109" s="521"/>
      <c r="N109" s="215">
        <v>45351</v>
      </c>
      <c r="O109" s="550"/>
      <c r="P109" s="208">
        <v>1740</v>
      </c>
      <c r="Q109" s="209">
        <v>45364</v>
      </c>
      <c r="R109" s="210"/>
      <c r="S109" s="208"/>
      <c r="T109" s="208"/>
      <c r="U109" s="524"/>
      <c r="V109" s="555"/>
      <c r="W109" s="518"/>
      <c r="X109" s="2">
        <v>29</v>
      </c>
    </row>
    <row r="110" spans="1:24" s="2" customFormat="1" x14ac:dyDescent="0.3">
      <c r="A110" s="558"/>
      <c r="B110" s="521"/>
      <c r="C110" s="521"/>
      <c r="D110" s="521"/>
      <c r="E110" s="521"/>
      <c r="F110" s="550"/>
      <c r="G110" s="553"/>
      <c r="H110" s="524"/>
      <c r="I110" s="527"/>
      <c r="J110" s="530"/>
      <c r="K110" s="533"/>
      <c r="L110" s="521"/>
      <c r="M110" s="521"/>
      <c r="N110" s="215">
        <v>45382</v>
      </c>
      <c r="O110" s="550"/>
      <c r="P110" s="208">
        <v>4092</v>
      </c>
      <c r="Q110" s="209">
        <v>45387</v>
      </c>
      <c r="R110" s="210"/>
      <c r="S110" s="208"/>
      <c r="T110" s="208"/>
      <c r="U110" s="524"/>
      <c r="V110" s="555"/>
      <c r="W110" s="518"/>
      <c r="X110" s="2">
        <v>29</v>
      </c>
    </row>
    <row r="111" spans="1:24" s="2" customFormat="1" x14ac:dyDescent="0.3">
      <c r="A111" s="559"/>
      <c r="B111" s="522"/>
      <c r="C111" s="522"/>
      <c r="D111" s="522"/>
      <c r="E111" s="522"/>
      <c r="F111" s="551"/>
      <c r="G111" s="560"/>
      <c r="H111" s="525"/>
      <c r="I111" s="528"/>
      <c r="J111" s="531"/>
      <c r="K111" s="534"/>
      <c r="L111" s="522"/>
      <c r="M111" s="522"/>
      <c r="N111" s="216">
        <v>45382</v>
      </c>
      <c r="O111" s="551"/>
      <c r="P111" s="211">
        <v>1320</v>
      </c>
      <c r="Q111" s="212">
        <v>45387</v>
      </c>
      <c r="R111" s="213"/>
      <c r="S111" s="211"/>
      <c r="T111" s="211"/>
      <c r="U111" s="525"/>
      <c r="V111" s="556"/>
      <c r="W111" s="519"/>
      <c r="X111" s="2">
        <v>29</v>
      </c>
    </row>
    <row r="112" spans="1:24" s="107" customFormat="1" ht="108" x14ac:dyDescent="0.3">
      <c r="A112" s="110">
        <v>13</v>
      </c>
      <c r="B112" s="111" t="s">
        <v>56</v>
      </c>
      <c r="C112" s="111" t="s">
        <v>146</v>
      </c>
      <c r="D112" s="111" t="s">
        <v>147</v>
      </c>
      <c r="E112" s="111" t="s">
        <v>211</v>
      </c>
      <c r="F112" s="119">
        <v>45316</v>
      </c>
      <c r="G112" s="112" t="s">
        <v>181</v>
      </c>
      <c r="H112" s="113">
        <v>72800</v>
      </c>
      <c r="I112" s="114">
        <f>IF(X112 = 30, H112 + SUM(S112:S112) - SUM(T112:T112) - SUM(P112:P112) - V112,0)</f>
        <v>0</v>
      </c>
      <c r="J112" s="115">
        <v>235303782209</v>
      </c>
      <c r="K112" s="116" t="s">
        <v>209</v>
      </c>
      <c r="L112" s="111" t="s">
        <v>146</v>
      </c>
      <c r="M112" s="111"/>
      <c r="N112" s="119"/>
      <c r="O112" s="119" t="s">
        <v>194</v>
      </c>
      <c r="P112" s="113">
        <v>72800</v>
      </c>
      <c r="Q112" s="112">
        <v>45327</v>
      </c>
      <c r="R112" s="111"/>
      <c r="S112" s="113"/>
      <c r="T112" s="113"/>
      <c r="U112" s="113"/>
      <c r="V112" s="117"/>
      <c r="W112" s="118"/>
      <c r="X112" s="107">
        <v>30</v>
      </c>
    </row>
    <row r="113" spans="1:24" s="107" customFormat="1" ht="108" customHeight="1" x14ac:dyDescent="0.3">
      <c r="A113" s="431">
        <v>14</v>
      </c>
      <c r="B113" s="416" t="s">
        <v>56</v>
      </c>
      <c r="C113" s="416" t="s">
        <v>163</v>
      </c>
      <c r="D113" s="416" t="s">
        <v>147</v>
      </c>
      <c r="E113" s="416" t="s">
        <v>221</v>
      </c>
      <c r="F113" s="422">
        <v>45351</v>
      </c>
      <c r="G113" s="486" t="s">
        <v>225</v>
      </c>
      <c r="H113" s="425">
        <v>561150</v>
      </c>
      <c r="I113" s="428">
        <f>IF(X113 = 31, H113 + SUM(S113:S117) - SUM(T113:T117) - SUM(P113:P117) - V113,0)</f>
        <v>169232.34999999998</v>
      </c>
      <c r="J113" s="477">
        <v>2310195709</v>
      </c>
      <c r="K113" s="480" t="s">
        <v>226</v>
      </c>
      <c r="L113" s="416" t="s">
        <v>146</v>
      </c>
      <c r="M113" s="416"/>
      <c r="N113" s="357">
        <v>45382</v>
      </c>
      <c r="O113" s="422" t="s">
        <v>194</v>
      </c>
      <c r="P113" s="348">
        <v>87825.15</v>
      </c>
      <c r="Q113" s="349">
        <v>45387</v>
      </c>
      <c r="R113" s="350"/>
      <c r="S113" s="348"/>
      <c r="T113" s="348"/>
      <c r="U113" s="425"/>
      <c r="V113" s="483"/>
      <c r="W113" s="413"/>
      <c r="X113" s="107">
        <v>31</v>
      </c>
    </row>
    <row r="114" spans="1:24" s="2" customFormat="1" x14ac:dyDescent="0.3">
      <c r="A114" s="432"/>
      <c r="B114" s="417"/>
      <c r="C114" s="417"/>
      <c r="D114" s="417"/>
      <c r="E114" s="417"/>
      <c r="F114" s="423"/>
      <c r="G114" s="487"/>
      <c r="H114" s="426"/>
      <c r="I114" s="429"/>
      <c r="J114" s="478"/>
      <c r="K114" s="481"/>
      <c r="L114" s="417"/>
      <c r="M114" s="417"/>
      <c r="N114" s="358">
        <v>45412</v>
      </c>
      <c r="O114" s="423"/>
      <c r="P114" s="351">
        <v>111025.60000000001</v>
      </c>
      <c r="Q114" s="352">
        <v>45420</v>
      </c>
      <c r="R114" s="353"/>
      <c r="S114" s="351"/>
      <c r="T114" s="351"/>
      <c r="U114" s="426"/>
      <c r="V114" s="484"/>
      <c r="W114" s="414"/>
      <c r="X114" s="2">
        <v>31</v>
      </c>
    </row>
    <row r="115" spans="1:24" s="2" customFormat="1" x14ac:dyDescent="0.3">
      <c r="A115" s="432"/>
      <c r="B115" s="417"/>
      <c r="C115" s="417"/>
      <c r="D115" s="417"/>
      <c r="E115" s="417"/>
      <c r="F115" s="423"/>
      <c r="G115" s="487"/>
      <c r="H115" s="426"/>
      <c r="I115" s="429"/>
      <c r="J115" s="478"/>
      <c r="K115" s="481"/>
      <c r="L115" s="417"/>
      <c r="M115" s="417"/>
      <c r="N115" s="358">
        <v>45443</v>
      </c>
      <c r="O115" s="423"/>
      <c r="P115" s="351">
        <v>104614</v>
      </c>
      <c r="Q115" s="352">
        <v>45454</v>
      </c>
      <c r="R115" s="353"/>
      <c r="S115" s="351"/>
      <c r="T115" s="351"/>
      <c r="U115" s="426"/>
      <c r="V115" s="484"/>
      <c r="W115" s="414"/>
      <c r="X115" s="2">
        <v>31</v>
      </c>
    </row>
    <row r="116" spans="1:24" s="2" customFormat="1" x14ac:dyDescent="0.3">
      <c r="A116" s="432"/>
      <c r="B116" s="417"/>
      <c r="C116" s="417"/>
      <c r="D116" s="417"/>
      <c r="E116" s="417"/>
      <c r="F116" s="423"/>
      <c r="G116" s="487"/>
      <c r="H116" s="426"/>
      <c r="I116" s="429"/>
      <c r="J116" s="478"/>
      <c r="K116" s="481"/>
      <c r="L116" s="417"/>
      <c r="M116" s="417"/>
      <c r="N116" s="358">
        <v>45473</v>
      </c>
      <c r="O116" s="423"/>
      <c r="P116" s="351">
        <v>68094.899999999994</v>
      </c>
      <c r="Q116" s="352">
        <v>45481</v>
      </c>
      <c r="R116" s="353"/>
      <c r="S116" s="351"/>
      <c r="T116" s="351"/>
      <c r="U116" s="426"/>
      <c r="V116" s="484"/>
      <c r="W116" s="414"/>
      <c r="X116" s="2">
        <v>31</v>
      </c>
    </row>
    <row r="117" spans="1:24" s="2" customFormat="1" x14ac:dyDescent="0.3">
      <c r="A117" s="433"/>
      <c r="B117" s="418"/>
      <c r="C117" s="418"/>
      <c r="D117" s="418"/>
      <c r="E117" s="418"/>
      <c r="F117" s="424"/>
      <c r="G117" s="488"/>
      <c r="H117" s="427"/>
      <c r="I117" s="430"/>
      <c r="J117" s="479"/>
      <c r="K117" s="482"/>
      <c r="L117" s="418"/>
      <c r="M117" s="418"/>
      <c r="N117" s="359">
        <v>45504</v>
      </c>
      <c r="O117" s="424"/>
      <c r="P117" s="354">
        <v>20358</v>
      </c>
      <c r="Q117" s="355">
        <v>45511</v>
      </c>
      <c r="R117" s="356"/>
      <c r="S117" s="354"/>
      <c r="T117" s="354"/>
      <c r="U117" s="427"/>
      <c r="V117" s="485"/>
      <c r="W117" s="415"/>
      <c r="X117" s="2">
        <v>31</v>
      </c>
    </row>
    <row r="118" spans="1:24" s="107" customFormat="1" ht="108" customHeight="1" x14ac:dyDescent="0.3">
      <c r="A118" s="462">
        <v>15</v>
      </c>
      <c r="B118" s="468" t="s">
        <v>56</v>
      </c>
      <c r="C118" s="468" t="s">
        <v>146</v>
      </c>
      <c r="D118" s="468" t="s">
        <v>147</v>
      </c>
      <c r="E118" s="468" t="s">
        <v>227</v>
      </c>
      <c r="F118" s="464">
        <v>45289</v>
      </c>
      <c r="G118" s="586" t="s">
        <v>228</v>
      </c>
      <c r="H118" s="466">
        <v>26827.32</v>
      </c>
      <c r="I118" s="474">
        <f>IF(X118 = 32, H118 + SUM(S118:S119) - SUM(T118:T119) - SUM(P118:P119) - V118,0)</f>
        <v>13413.66</v>
      </c>
      <c r="J118" s="579">
        <v>2353018870</v>
      </c>
      <c r="K118" s="582" t="s">
        <v>229</v>
      </c>
      <c r="L118" s="468" t="s">
        <v>146</v>
      </c>
      <c r="M118" s="468"/>
      <c r="N118" s="340">
        <v>45376</v>
      </c>
      <c r="O118" s="464" t="s">
        <v>194</v>
      </c>
      <c r="P118" s="325">
        <v>6706.83</v>
      </c>
      <c r="Q118" s="326">
        <v>45379</v>
      </c>
      <c r="R118" s="327"/>
      <c r="S118" s="325"/>
      <c r="T118" s="325"/>
      <c r="U118" s="466"/>
      <c r="V118" s="575"/>
      <c r="W118" s="472"/>
      <c r="X118" s="107">
        <v>32</v>
      </c>
    </row>
    <row r="119" spans="1:24" s="2" customFormat="1" x14ac:dyDescent="0.3">
      <c r="A119" s="463"/>
      <c r="B119" s="469"/>
      <c r="C119" s="469"/>
      <c r="D119" s="469"/>
      <c r="E119" s="469"/>
      <c r="F119" s="465"/>
      <c r="G119" s="587"/>
      <c r="H119" s="467"/>
      <c r="I119" s="475"/>
      <c r="J119" s="581"/>
      <c r="K119" s="584"/>
      <c r="L119" s="469"/>
      <c r="M119" s="469"/>
      <c r="N119" s="342">
        <v>45471</v>
      </c>
      <c r="O119" s="465"/>
      <c r="P119" s="335">
        <v>6706.83</v>
      </c>
      <c r="Q119" s="336">
        <v>45475</v>
      </c>
      <c r="R119" s="337"/>
      <c r="S119" s="335"/>
      <c r="T119" s="335"/>
      <c r="U119" s="467"/>
      <c r="V119" s="577"/>
      <c r="W119" s="473"/>
      <c r="X119" s="2">
        <v>32</v>
      </c>
    </row>
    <row r="120" spans="1:24" s="107" customFormat="1" ht="162" customHeight="1" x14ac:dyDescent="0.3">
      <c r="A120" s="431">
        <v>16</v>
      </c>
      <c r="B120" s="416" t="s">
        <v>56</v>
      </c>
      <c r="C120" s="416" t="s">
        <v>146</v>
      </c>
      <c r="D120" s="416" t="s">
        <v>147</v>
      </c>
      <c r="E120" s="416" t="s">
        <v>230</v>
      </c>
      <c r="F120" s="422">
        <v>45351</v>
      </c>
      <c r="G120" s="486" t="s">
        <v>204</v>
      </c>
      <c r="H120" s="425">
        <v>75440</v>
      </c>
      <c r="I120" s="428">
        <f>IF(X120 = 33, H120 + SUM(S120:S134) - SUM(T120:T134) - SUM(P120:P134) - V120,0)</f>
        <v>-11050</v>
      </c>
      <c r="J120" s="477">
        <v>235305769122</v>
      </c>
      <c r="K120" s="480" t="s">
        <v>160</v>
      </c>
      <c r="L120" s="416" t="s">
        <v>146</v>
      </c>
      <c r="M120" s="416"/>
      <c r="N120" s="357">
        <v>45382</v>
      </c>
      <c r="O120" s="422" t="s">
        <v>194</v>
      </c>
      <c r="P120" s="360">
        <v>5320</v>
      </c>
      <c r="Q120" s="361">
        <v>45387</v>
      </c>
      <c r="R120" s="350"/>
      <c r="S120" s="348"/>
      <c r="T120" s="348"/>
      <c r="U120" s="425"/>
      <c r="V120" s="483"/>
      <c r="W120" s="413"/>
      <c r="X120" s="107">
        <v>33</v>
      </c>
    </row>
    <row r="121" spans="1:24" s="2" customFormat="1" x14ac:dyDescent="0.3">
      <c r="A121" s="432"/>
      <c r="B121" s="417"/>
      <c r="C121" s="417"/>
      <c r="D121" s="417"/>
      <c r="E121" s="417"/>
      <c r="F121" s="423"/>
      <c r="G121" s="487"/>
      <c r="H121" s="426"/>
      <c r="I121" s="429"/>
      <c r="J121" s="478"/>
      <c r="K121" s="481"/>
      <c r="L121" s="417"/>
      <c r="M121" s="417"/>
      <c r="N121" s="358">
        <v>45382</v>
      </c>
      <c r="O121" s="423"/>
      <c r="P121" s="351">
        <v>6080</v>
      </c>
      <c r="Q121" s="352">
        <v>45387</v>
      </c>
      <c r="R121" s="353"/>
      <c r="S121" s="351"/>
      <c r="T121" s="351"/>
      <c r="U121" s="426"/>
      <c r="V121" s="484"/>
      <c r="W121" s="414"/>
      <c r="X121" s="2">
        <v>33</v>
      </c>
    </row>
    <row r="122" spans="1:24" s="2" customFormat="1" x14ac:dyDescent="0.3">
      <c r="A122" s="432"/>
      <c r="B122" s="417"/>
      <c r="C122" s="417"/>
      <c r="D122" s="417"/>
      <c r="E122" s="417"/>
      <c r="F122" s="423"/>
      <c r="G122" s="487"/>
      <c r="H122" s="426"/>
      <c r="I122" s="429"/>
      <c r="J122" s="478"/>
      <c r="K122" s="481"/>
      <c r="L122" s="417"/>
      <c r="M122" s="417"/>
      <c r="N122" s="358">
        <v>45382</v>
      </c>
      <c r="O122" s="423"/>
      <c r="P122" s="351">
        <v>7670</v>
      </c>
      <c r="Q122" s="352">
        <v>45387</v>
      </c>
      <c r="R122" s="353"/>
      <c r="S122" s="351"/>
      <c r="T122" s="351"/>
      <c r="U122" s="426"/>
      <c r="V122" s="484"/>
      <c r="W122" s="414"/>
      <c r="X122" s="2">
        <v>33</v>
      </c>
    </row>
    <row r="123" spans="1:24" s="2" customFormat="1" x14ac:dyDescent="0.3">
      <c r="A123" s="432"/>
      <c r="B123" s="417"/>
      <c r="C123" s="417"/>
      <c r="D123" s="417"/>
      <c r="E123" s="417"/>
      <c r="F123" s="423"/>
      <c r="G123" s="487"/>
      <c r="H123" s="426"/>
      <c r="I123" s="429"/>
      <c r="J123" s="478"/>
      <c r="K123" s="481"/>
      <c r="L123" s="417"/>
      <c r="M123" s="417"/>
      <c r="N123" s="358">
        <v>45412</v>
      </c>
      <c r="O123" s="423"/>
      <c r="P123" s="351">
        <v>6300</v>
      </c>
      <c r="Q123" s="352">
        <v>45418</v>
      </c>
      <c r="R123" s="353"/>
      <c r="S123" s="351"/>
      <c r="T123" s="351"/>
      <c r="U123" s="426"/>
      <c r="V123" s="484"/>
      <c r="W123" s="414"/>
      <c r="X123" s="2">
        <v>33</v>
      </c>
    </row>
    <row r="124" spans="1:24" s="2" customFormat="1" x14ac:dyDescent="0.3">
      <c r="A124" s="432"/>
      <c r="B124" s="417"/>
      <c r="C124" s="417"/>
      <c r="D124" s="417"/>
      <c r="E124" s="417"/>
      <c r="F124" s="423"/>
      <c r="G124" s="487"/>
      <c r="H124" s="426"/>
      <c r="I124" s="429"/>
      <c r="J124" s="478"/>
      <c r="K124" s="481"/>
      <c r="L124" s="417"/>
      <c r="M124" s="417"/>
      <c r="N124" s="358">
        <v>45412</v>
      </c>
      <c r="O124" s="423"/>
      <c r="P124" s="351">
        <v>7200</v>
      </c>
      <c r="Q124" s="352">
        <v>45418</v>
      </c>
      <c r="R124" s="353"/>
      <c r="S124" s="351"/>
      <c r="T124" s="351"/>
      <c r="U124" s="426"/>
      <c r="V124" s="484"/>
      <c r="W124" s="414"/>
      <c r="X124" s="2">
        <v>33</v>
      </c>
    </row>
    <row r="125" spans="1:24" s="2" customFormat="1" x14ac:dyDescent="0.3">
      <c r="A125" s="432"/>
      <c r="B125" s="417"/>
      <c r="C125" s="417"/>
      <c r="D125" s="417"/>
      <c r="E125" s="417"/>
      <c r="F125" s="423"/>
      <c r="G125" s="487"/>
      <c r="H125" s="426"/>
      <c r="I125" s="429"/>
      <c r="J125" s="478"/>
      <c r="K125" s="481"/>
      <c r="L125" s="417"/>
      <c r="M125" s="417"/>
      <c r="N125" s="358">
        <v>45412</v>
      </c>
      <c r="O125" s="423"/>
      <c r="P125" s="351">
        <v>7800</v>
      </c>
      <c r="Q125" s="352">
        <v>45418</v>
      </c>
      <c r="R125" s="353"/>
      <c r="S125" s="351"/>
      <c r="T125" s="351"/>
      <c r="U125" s="426"/>
      <c r="V125" s="484"/>
      <c r="W125" s="414"/>
      <c r="X125" s="2">
        <v>33</v>
      </c>
    </row>
    <row r="126" spans="1:24" s="2" customFormat="1" x14ac:dyDescent="0.3">
      <c r="A126" s="432"/>
      <c r="B126" s="417"/>
      <c r="C126" s="417"/>
      <c r="D126" s="417"/>
      <c r="E126" s="417"/>
      <c r="F126" s="423"/>
      <c r="G126" s="487"/>
      <c r="H126" s="426"/>
      <c r="I126" s="429"/>
      <c r="J126" s="478"/>
      <c r="K126" s="481"/>
      <c r="L126" s="417"/>
      <c r="M126" s="417"/>
      <c r="N126" s="358">
        <v>45443</v>
      </c>
      <c r="O126" s="423"/>
      <c r="P126" s="351">
        <v>5040</v>
      </c>
      <c r="Q126" s="352">
        <v>45454</v>
      </c>
      <c r="R126" s="353"/>
      <c r="S126" s="351"/>
      <c r="T126" s="351"/>
      <c r="U126" s="426"/>
      <c r="V126" s="484"/>
      <c r="W126" s="414"/>
      <c r="X126" s="2">
        <v>33</v>
      </c>
    </row>
    <row r="127" spans="1:24" s="2" customFormat="1" x14ac:dyDescent="0.3">
      <c r="A127" s="432"/>
      <c r="B127" s="417"/>
      <c r="C127" s="417"/>
      <c r="D127" s="417"/>
      <c r="E127" s="417"/>
      <c r="F127" s="423"/>
      <c r="G127" s="487"/>
      <c r="H127" s="426"/>
      <c r="I127" s="429"/>
      <c r="J127" s="478"/>
      <c r="K127" s="481"/>
      <c r="L127" s="417"/>
      <c r="M127" s="417"/>
      <c r="N127" s="358">
        <v>45443</v>
      </c>
      <c r="O127" s="423"/>
      <c r="P127" s="351">
        <v>5760</v>
      </c>
      <c r="Q127" s="352">
        <v>45454</v>
      </c>
      <c r="R127" s="353"/>
      <c r="S127" s="351"/>
      <c r="T127" s="351"/>
      <c r="U127" s="426"/>
      <c r="V127" s="484"/>
      <c r="W127" s="414"/>
      <c r="X127" s="2">
        <v>33</v>
      </c>
    </row>
    <row r="128" spans="1:24" s="2" customFormat="1" x14ac:dyDescent="0.3">
      <c r="A128" s="432"/>
      <c r="B128" s="417"/>
      <c r="C128" s="417"/>
      <c r="D128" s="417"/>
      <c r="E128" s="417"/>
      <c r="F128" s="423"/>
      <c r="G128" s="487"/>
      <c r="H128" s="426"/>
      <c r="I128" s="429"/>
      <c r="J128" s="478"/>
      <c r="K128" s="481"/>
      <c r="L128" s="417"/>
      <c r="M128" s="417"/>
      <c r="N128" s="358">
        <v>45443</v>
      </c>
      <c r="O128" s="423"/>
      <c r="P128" s="351">
        <v>8060</v>
      </c>
      <c r="Q128" s="352">
        <v>45454</v>
      </c>
      <c r="R128" s="353"/>
      <c r="S128" s="351"/>
      <c r="T128" s="351"/>
      <c r="U128" s="426"/>
      <c r="V128" s="484"/>
      <c r="W128" s="414"/>
      <c r="X128" s="2">
        <v>33</v>
      </c>
    </row>
    <row r="129" spans="1:24" s="2" customFormat="1" x14ac:dyDescent="0.3">
      <c r="A129" s="432"/>
      <c r="B129" s="417"/>
      <c r="C129" s="417"/>
      <c r="D129" s="417"/>
      <c r="E129" s="417"/>
      <c r="F129" s="423"/>
      <c r="G129" s="487"/>
      <c r="H129" s="426"/>
      <c r="I129" s="429"/>
      <c r="J129" s="478"/>
      <c r="K129" s="481"/>
      <c r="L129" s="417"/>
      <c r="M129" s="417"/>
      <c r="N129" s="358">
        <v>45473</v>
      </c>
      <c r="O129" s="423"/>
      <c r="P129" s="351">
        <v>3780</v>
      </c>
      <c r="Q129" s="352">
        <v>45481</v>
      </c>
      <c r="R129" s="353"/>
      <c r="S129" s="351"/>
      <c r="T129" s="351"/>
      <c r="U129" s="426"/>
      <c r="V129" s="484"/>
      <c r="W129" s="414"/>
      <c r="X129" s="2">
        <v>33</v>
      </c>
    </row>
    <row r="130" spans="1:24" s="2" customFormat="1" x14ac:dyDescent="0.3">
      <c r="A130" s="432"/>
      <c r="B130" s="417"/>
      <c r="C130" s="417"/>
      <c r="D130" s="417"/>
      <c r="E130" s="417"/>
      <c r="F130" s="423"/>
      <c r="G130" s="487"/>
      <c r="H130" s="426"/>
      <c r="I130" s="429"/>
      <c r="J130" s="478"/>
      <c r="K130" s="481"/>
      <c r="L130" s="417"/>
      <c r="M130" s="417"/>
      <c r="N130" s="358">
        <v>45473</v>
      </c>
      <c r="O130" s="423"/>
      <c r="P130" s="351">
        <v>4320</v>
      </c>
      <c r="Q130" s="352">
        <v>45481</v>
      </c>
      <c r="R130" s="353"/>
      <c r="S130" s="351"/>
      <c r="T130" s="351"/>
      <c r="U130" s="426"/>
      <c r="V130" s="484"/>
      <c r="W130" s="414"/>
      <c r="X130" s="2">
        <v>33</v>
      </c>
    </row>
    <row r="131" spans="1:24" s="2" customFormat="1" x14ac:dyDescent="0.3">
      <c r="A131" s="432"/>
      <c r="B131" s="417"/>
      <c r="C131" s="417"/>
      <c r="D131" s="417"/>
      <c r="E131" s="417"/>
      <c r="F131" s="423"/>
      <c r="G131" s="487"/>
      <c r="H131" s="426"/>
      <c r="I131" s="429"/>
      <c r="J131" s="478"/>
      <c r="K131" s="481"/>
      <c r="L131" s="417"/>
      <c r="M131" s="417"/>
      <c r="N131" s="358">
        <v>45473</v>
      </c>
      <c r="O131" s="423"/>
      <c r="P131" s="351">
        <v>7800</v>
      </c>
      <c r="Q131" s="352">
        <v>45481</v>
      </c>
      <c r="R131" s="353"/>
      <c r="S131" s="351"/>
      <c r="T131" s="351"/>
      <c r="U131" s="426"/>
      <c r="V131" s="484"/>
      <c r="W131" s="414"/>
      <c r="X131" s="2">
        <v>33</v>
      </c>
    </row>
    <row r="132" spans="1:24" s="2" customFormat="1" x14ac:dyDescent="0.3">
      <c r="A132" s="432"/>
      <c r="B132" s="417"/>
      <c r="C132" s="417"/>
      <c r="D132" s="417"/>
      <c r="E132" s="417"/>
      <c r="F132" s="423"/>
      <c r="G132" s="487"/>
      <c r="H132" s="426"/>
      <c r="I132" s="429"/>
      <c r="J132" s="478"/>
      <c r="K132" s="481"/>
      <c r="L132" s="417"/>
      <c r="M132" s="417"/>
      <c r="N132" s="358">
        <v>45504</v>
      </c>
      <c r="O132" s="423"/>
      <c r="P132" s="351">
        <v>1540</v>
      </c>
      <c r="Q132" s="352">
        <v>45512</v>
      </c>
      <c r="R132" s="353"/>
      <c r="S132" s="351"/>
      <c r="T132" s="351"/>
      <c r="U132" s="426"/>
      <c r="V132" s="484"/>
      <c r="W132" s="414"/>
      <c r="X132" s="2">
        <v>33</v>
      </c>
    </row>
    <row r="133" spans="1:24" s="2" customFormat="1" x14ac:dyDescent="0.3">
      <c r="A133" s="432"/>
      <c r="B133" s="417"/>
      <c r="C133" s="417"/>
      <c r="D133" s="417"/>
      <c r="E133" s="417"/>
      <c r="F133" s="423"/>
      <c r="G133" s="487"/>
      <c r="H133" s="426"/>
      <c r="I133" s="429"/>
      <c r="J133" s="478"/>
      <c r="K133" s="481"/>
      <c r="L133" s="417"/>
      <c r="M133" s="417"/>
      <c r="N133" s="358">
        <v>45504</v>
      </c>
      <c r="O133" s="423"/>
      <c r="P133" s="351">
        <v>1760</v>
      </c>
      <c r="Q133" s="352">
        <v>45512</v>
      </c>
      <c r="R133" s="353"/>
      <c r="S133" s="351"/>
      <c r="T133" s="351"/>
      <c r="U133" s="426"/>
      <c r="V133" s="484"/>
      <c r="W133" s="414"/>
      <c r="X133" s="2">
        <v>33</v>
      </c>
    </row>
    <row r="134" spans="1:24" s="2" customFormat="1" x14ac:dyDescent="0.3">
      <c r="A134" s="433"/>
      <c r="B134" s="418"/>
      <c r="C134" s="418"/>
      <c r="D134" s="418"/>
      <c r="E134" s="418"/>
      <c r="F134" s="424"/>
      <c r="G134" s="488"/>
      <c r="H134" s="427"/>
      <c r="I134" s="430"/>
      <c r="J134" s="479"/>
      <c r="K134" s="482"/>
      <c r="L134" s="418"/>
      <c r="M134" s="418"/>
      <c r="N134" s="359">
        <v>45504</v>
      </c>
      <c r="O134" s="424"/>
      <c r="P134" s="354">
        <v>8060</v>
      </c>
      <c r="Q134" s="355">
        <v>45512</v>
      </c>
      <c r="R134" s="356"/>
      <c r="S134" s="354"/>
      <c r="T134" s="354"/>
      <c r="U134" s="427"/>
      <c r="V134" s="485"/>
      <c r="W134" s="415"/>
      <c r="X134" s="2">
        <v>33</v>
      </c>
    </row>
    <row r="135" spans="1:24" s="107" customFormat="1" ht="108" x14ac:dyDescent="0.3">
      <c r="A135" s="159">
        <v>17</v>
      </c>
      <c r="B135" s="162" t="s">
        <v>56</v>
      </c>
      <c r="C135" s="162" t="s">
        <v>146</v>
      </c>
      <c r="D135" s="162" t="s">
        <v>147</v>
      </c>
      <c r="E135" s="162" t="s">
        <v>244</v>
      </c>
      <c r="F135" s="169">
        <v>45369</v>
      </c>
      <c r="G135" s="165" t="s">
        <v>243</v>
      </c>
      <c r="H135" s="161">
        <v>17000</v>
      </c>
      <c r="I135" s="166">
        <f>IF(X135 = 34, H135 + SUM(S135:S135) - SUM(T135:T135) - SUM(P135:P135) - V135,0)</f>
        <v>0</v>
      </c>
      <c r="J135" s="167">
        <v>235002152355</v>
      </c>
      <c r="K135" s="168" t="s">
        <v>238</v>
      </c>
      <c r="L135" s="162" t="s">
        <v>146</v>
      </c>
      <c r="M135" s="162"/>
      <c r="N135" s="169">
        <v>45369</v>
      </c>
      <c r="O135" s="169" t="s">
        <v>194</v>
      </c>
      <c r="P135" s="161">
        <v>17000</v>
      </c>
      <c r="Q135" s="165">
        <v>45370</v>
      </c>
      <c r="R135" s="162"/>
      <c r="S135" s="161"/>
      <c r="T135" s="161"/>
      <c r="U135" s="161"/>
      <c r="V135" s="163"/>
      <c r="W135" s="164"/>
      <c r="X135" s="107">
        <v>34</v>
      </c>
    </row>
    <row r="136" spans="1:24" s="107" customFormat="1" ht="108" x14ac:dyDescent="0.3">
      <c r="A136" s="159">
        <v>18</v>
      </c>
      <c r="B136" s="162" t="s">
        <v>56</v>
      </c>
      <c r="C136" s="162" t="s">
        <v>146</v>
      </c>
      <c r="D136" s="162" t="s">
        <v>147</v>
      </c>
      <c r="E136" s="162" t="s">
        <v>254</v>
      </c>
      <c r="F136" s="169">
        <v>45372</v>
      </c>
      <c r="G136" s="165" t="s">
        <v>240</v>
      </c>
      <c r="H136" s="161">
        <v>4690.3999999999996</v>
      </c>
      <c r="I136" s="166">
        <f>IF(X136 = 35, H136 + SUM(S136:S136) - SUM(T136:T136) - SUM(P136:P136) - V136,0)</f>
        <v>0</v>
      </c>
      <c r="J136" s="167">
        <v>7715995942</v>
      </c>
      <c r="K136" s="168" t="s">
        <v>241</v>
      </c>
      <c r="L136" s="162" t="s">
        <v>146</v>
      </c>
      <c r="M136" s="162"/>
      <c r="N136" s="169" t="s">
        <v>255</v>
      </c>
      <c r="O136" s="169" t="s">
        <v>194</v>
      </c>
      <c r="P136" s="161">
        <v>4690.3999999999996</v>
      </c>
      <c r="Q136" s="165">
        <v>45447</v>
      </c>
      <c r="R136" s="162"/>
      <c r="S136" s="161"/>
      <c r="T136" s="161"/>
      <c r="U136" s="161"/>
      <c r="V136" s="163"/>
      <c r="W136" s="164"/>
      <c r="X136" s="107">
        <v>35</v>
      </c>
    </row>
    <row r="137" spans="1:24" s="107" customFormat="1" ht="108" x14ac:dyDescent="0.3">
      <c r="A137" s="159">
        <v>19</v>
      </c>
      <c r="B137" s="162" t="s">
        <v>56</v>
      </c>
      <c r="C137" s="162" t="s">
        <v>146</v>
      </c>
      <c r="D137" s="162" t="s">
        <v>147</v>
      </c>
      <c r="E137" s="162" t="s">
        <v>253</v>
      </c>
      <c r="F137" s="169">
        <v>45372</v>
      </c>
      <c r="G137" s="165" t="s">
        <v>240</v>
      </c>
      <c r="H137" s="161">
        <v>43909.8</v>
      </c>
      <c r="I137" s="166">
        <f>IF(X137 = 36, H137 + SUM(S137:S137) - SUM(T137:T137) - SUM(P137:P137) - V137,0)</f>
        <v>0</v>
      </c>
      <c r="J137" s="167">
        <v>7715995942</v>
      </c>
      <c r="K137" s="168" t="s">
        <v>241</v>
      </c>
      <c r="L137" s="162" t="s">
        <v>146</v>
      </c>
      <c r="M137" s="162"/>
      <c r="N137" s="169" t="s">
        <v>255</v>
      </c>
      <c r="O137" s="169" t="s">
        <v>194</v>
      </c>
      <c r="P137" s="161">
        <v>43909.8</v>
      </c>
      <c r="Q137" s="165">
        <v>45467</v>
      </c>
      <c r="R137" s="162"/>
      <c r="S137" s="161"/>
      <c r="T137" s="161"/>
      <c r="U137" s="161"/>
      <c r="V137" s="163"/>
      <c r="W137" s="164"/>
      <c r="X137" s="107">
        <v>36</v>
      </c>
    </row>
    <row r="138" spans="1:24" s="107" customFormat="1" ht="108" x14ac:dyDescent="0.3">
      <c r="A138" s="180">
        <v>20</v>
      </c>
      <c r="B138" s="183" t="s">
        <v>56</v>
      </c>
      <c r="C138" s="183" t="s">
        <v>146</v>
      </c>
      <c r="D138" s="183" t="s">
        <v>147</v>
      </c>
      <c r="E138" s="183" t="s">
        <v>120</v>
      </c>
      <c r="F138" s="191">
        <v>45378</v>
      </c>
      <c r="G138" s="186" t="s">
        <v>207</v>
      </c>
      <c r="H138" s="182">
        <v>39025</v>
      </c>
      <c r="I138" s="187">
        <f>IF(X138 = 37, H138 + SUM(S138:S138) - SUM(T138:T138) - SUM(P138:P138) - V138,0)</f>
        <v>0</v>
      </c>
      <c r="J138" s="188">
        <v>235303483777</v>
      </c>
      <c r="K138" s="189" t="s">
        <v>260</v>
      </c>
      <c r="L138" s="183" t="s">
        <v>146</v>
      </c>
      <c r="M138" s="183"/>
      <c r="N138" s="191"/>
      <c r="O138" s="181" t="s">
        <v>194</v>
      </c>
      <c r="P138" s="182">
        <v>39025</v>
      </c>
      <c r="Q138" s="186">
        <v>45383</v>
      </c>
      <c r="R138" s="183"/>
      <c r="S138" s="182"/>
      <c r="T138" s="182"/>
      <c r="U138" s="182"/>
      <c r="V138" s="184"/>
      <c r="W138" s="185"/>
      <c r="X138" s="107">
        <v>37</v>
      </c>
    </row>
    <row r="139" spans="1:24" s="107" customFormat="1" ht="108" customHeight="1" x14ac:dyDescent="0.3">
      <c r="A139" s="442">
        <v>21</v>
      </c>
      <c r="B139" s="448" t="s">
        <v>56</v>
      </c>
      <c r="C139" s="448" t="s">
        <v>146</v>
      </c>
      <c r="D139" s="448" t="s">
        <v>147</v>
      </c>
      <c r="E139" s="448" t="s">
        <v>120</v>
      </c>
      <c r="F139" s="444">
        <v>45383</v>
      </c>
      <c r="G139" s="561" t="s">
        <v>265</v>
      </c>
      <c r="H139" s="446">
        <v>78554</v>
      </c>
      <c r="I139" s="455">
        <f>IF(X139 = 38, H139 + SUM(S139:S142) - SUM(T139:T142) - SUM(P139:P142) - V139,0)</f>
        <v>34506.399999999994</v>
      </c>
      <c r="J139" s="564">
        <v>2353020735</v>
      </c>
      <c r="K139" s="567" t="s">
        <v>156</v>
      </c>
      <c r="L139" s="448" t="s">
        <v>146</v>
      </c>
      <c r="M139" s="448"/>
      <c r="N139" s="299">
        <v>45409</v>
      </c>
      <c r="O139" s="444" t="s">
        <v>194</v>
      </c>
      <c r="P139" s="290">
        <v>19269</v>
      </c>
      <c r="Q139" s="291">
        <v>45427</v>
      </c>
      <c r="R139" s="292"/>
      <c r="S139" s="290"/>
      <c r="T139" s="290"/>
      <c r="U139" s="446"/>
      <c r="V139" s="570"/>
      <c r="W139" s="453"/>
      <c r="X139" s="107">
        <v>38</v>
      </c>
    </row>
    <row r="140" spans="1:24" s="2" customFormat="1" x14ac:dyDescent="0.3">
      <c r="A140" s="476"/>
      <c r="B140" s="452"/>
      <c r="C140" s="452"/>
      <c r="D140" s="452"/>
      <c r="E140" s="452"/>
      <c r="F140" s="459"/>
      <c r="G140" s="562"/>
      <c r="H140" s="460"/>
      <c r="I140" s="461"/>
      <c r="J140" s="565"/>
      <c r="K140" s="568"/>
      <c r="L140" s="452"/>
      <c r="M140" s="452"/>
      <c r="N140" s="300">
        <v>45409</v>
      </c>
      <c r="O140" s="459"/>
      <c r="P140" s="293">
        <v>7560.8</v>
      </c>
      <c r="Q140" s="294">
        <v>45427</v>
      </c>
      <c r="R140" s="295"/>
      <c r="S140" s="293"/>
      <c r="T140" s="293"/>
      <c r="U140" s="460"/>
      <c r="V140" s="571"/>
      <c r="W140" s="458"/>
      <c r="X140" s="2">
        <v>38</v>
      </c>
    </row>
    <row r="141" spans="1:24" s="2" customFormat="1" x14ac:dyDescent="0.3">
      <c r="A141" s="476"/>
      <c r="B141" s="452"/>
      <c r="C141" s="452"/>
      <c r="D141" s="452"/>
      <c r="E141" s="452"/>
      <c r="F141" s="459"/>
      <c r="G141" s="562"/>
      <c r="H141" s="460"/>
      <c r="I141" s="461"/>
      <c r="J141" s="565"/>
      <c r="K141" s="568"/>
      <c r="L141" s="452"/>
      <c r="M141" s="452"/>
      <c r="N141" s="300">
        <v>45436</v>
      </c>
      <c r="O141" s="459"/>
      <c r="P141" s="293">
        <v>12465</v>
      </c>
      <c r="Q141" s="294">
        <v>45449</v>
      </c>
      <c r="R141" s="295"/>
      <c r="S141" s="293"/>
      <c r="T141" s="293"/>
      <c r="U141" s="460"/>
      <c r="V141" s="571"/>
      <c r="W141" s="458"/>
      <c r="X141" s="2">
        <v>38</v>
      </c>
    </row>
    <row r="142" spans="1:24" s="2" customFormat="1" x14ac:dyDescent="0.3">
      <c r="A142" s="443"/>
      <c r="B142" s="449"/>
      <c r="C142" s="449"/>
      <c r="D142" s="449"/>
      <c r="E142" s="449"/>
      <c r="F142" s="445"/>
      <c r="G142" s="563"/>
      <c r="H142" s="447"/>
      <c r="I142" s="456"/>
      <c r="J142" s="566"/>
      <c r="K142" s="569"/>
      <c r="L142" s="449"/>
      <c r="M142" s="449"/>
      <c r="N142" s="301">
        <v>45436</v>
      </c>
      <c r="O142" s="445"/>
      <c r="P142" s="296">
        <v>4752.8</v>
      </c>
      <c r="Q142" s="297">
        <v>45449</v>
      </c>
      <c r="R142" s="298"/>
      <c r="S142" s="296"/>
      <c r="T142" s="296"/>
      <c r="U142" s="447"/>
      <c r="V142" s="572"/>
      <c r="W142" s="454"/>
      <c r="X142" s="2">
        <v>38</v>
      </c>
    </row>
    <row r="143" spans="1:24" s="107" customFormat="1" ht="108" customHeight="1" x14ac:dyDescent="0.3">
      <c r="A143" s="442">
        <v>22</v>
      </c>
      <c r="B143" s="448" t="s">
        <v>56</v>
      </c>
      <c r="C143" s="448" t="s">
        <v>146</v>
      </c>
      <c r="D143" s="448" t="s">
        <v>147</v>
      </c>
      <c r="E143" s="448" t="s">
        <v>121</v>
      </c>
      <c r="F143" s="444">
        <v>45383</v>
      </c>
      <c r="G143" s="561" t="s">
        <v>265</v>
      </c>
      <c r="H143" s="446">
        <v>17220</v>
      </c>
      <c r="I143" s="455">
        <f>IF(X143 = 39, H143 + SUM(S143:S146) - SUM(T143:T146) - SUM(P143:P146) - V143,0)</f>
        <v>4182</v>
      </c>
      <c r="J143" s="564">
        <v>2353020735</v>
      </c>
      <c r="K143" s="567" t="s">
        <v>156</v>
      </c>
      <c r="L143" s="448" t="s">
        <v>146</v>
      </c>
      <c r="M143" s="448"/>
      <c r="N143" s="299">
        <v>45409</v>
      </c>
      <c r="O143" s="444" t="s">
        <v>194</v>
      </c>
      <c r="P143" s="290">
        <v>5580</v>
      </c>
      <c r="Q143" s="291">
        <v>45427</v>
      </c>
      <c r="R143" s="292"/>
      <c r="S143" s="290"/>
      <c r="T143" s="290"/>
      <c r="U143" s="446"/>
      <c r="V143" s="570"/>
      <c r="W143" s="453"/>
      <c r="X143" s="107">
        <v>39</v>
      </c>
    </row>
    <row r="144" spans="1:24" s="2" customFormat="1" x14ac:dyDescent="0.3">
      <c r="A144" s="476"/>
      <c r="B144" s="452"/>
      <c r="C144" s="452"/>
      <c r="D144" s="452"/>
      <c r="E144" s="452"/>
      <c r="F144" s="459"/>
      <c r="G144" s="562"/>
      <c r="H144" s="460"/>
      <c r="I144" s="461"/>
      <c r="J144" s="565"/>
      <c r="K144" s="568"/>
      <c r="L144" s="452"/>
      <c r="M144" s="452"/>
      <c r="N144" s="300">
        <v>45409</v>
      </c>
      <c r="O144" s="459"/>
      <c r="P144" s="293">
        <v>1800</v>
      </c>
      <c r="Q144" s="294">
        <v>45427</v>
      </c>
      <c r="R144" s="295"/>
      <c r="S144" s="293"/>
      <c r="T144" s="293"/>
      <c r="U144" s="460"/>
      <c r="V144" s="571"/>
      <c r="W144" s="458"/>
      <c r="X144" s="2">
        <v>39</v>
      </c>
    </row>
    <row r="145" spans="1:24" s="2" customFormat="1" x14ac:dyDescent="0.3">
      <c r="A145" s="476"/>
      <c r="B145" s="452"/>
      <c r="C145" s="452"/>
      <c r="D145" s="452"/>
      <c r="E145" s="452"/>
      <c r="F145" s="459"/>
      <c r="G145" s="562"/>
      <c r="H145" s="460"/>
      <c r="I145" s="461"/>
      <c r="J145" s="565"/>
      <c r="K145" s="568"/>
      <c r="L145" s="452"/>
      <c r="M145" s="452"/>
      <c r="N145" s="300">
        <v>45436</v>
      </c>
      <c r="O145" s="459"/>
      <c r="P145" s="293">
        <v>4278</v>
      </c>
      <c r="Q145" s="294">
        <v>45449</v>
      </c>
      <c r="R145" s="295"/>
      <c r="S145" s="293"/>
      <c r="T145" s="293"/>
      <c r="U145" s="460"/>
      <c r="V145" s="571"/>
      <c r="W145" s="458"/>
      <c r="X145" s="2">
        <v>39</v>
      </c>
    </row>
    <row r="146" spans="1:24" s="2" customFormat="1" x14ac:dyDescent="0.3">
      <c r="A146" s="443"/>
      <c r="B146" s="449"/>
      <c r="C146" s="449"/>
      <c r="D146" s="449"/>
      <c r="E146" s="449"/>
      <c r="F146" s="445"/>
      <c r="G146" s="563"/>
      <c r="H146" s="447"/>
      <c r="I146" s="456"/>
      <c r="J146" s="566"/>
      <c r="K146" s="569"/>
      <c r="L146" s="449"/>
      <c r="M146" s="449"/>
      <c r="N146" s="301">
        <v>45436</v>
      </c>
      <c r="O146" s="445"/>
      <c r="P146" s="296">
        <v>1380</v>
      </c>
      <c r="Q146" s="297">
        <v>45449</v>
      </c>
      <c r="R146" s="298"/>
      <c r="S146" s="296"/>
      <c r="T146" s="296"/>
      <c r="U146" s="447"/>
      <c r="V146" s="572"/>
      <c r="W146" s="454"/>
      <c r="X146" s="2">
        <v>39</v>
      </c>
    </row>
    <row r="147" spans="1:24" s="107" customFormat="1" ht="108" customHeight="1" x14ac:dyDescent="0.3">
      <c r="A147" s="442">
        <v>23</v>
      </c>
      <c r="B147" s="448" t="s">
        <v>56</v>
      </c>
      <c r="C147" s="448" t="s">
        <v>146</v>
      </c>
      <c r="D147" s="448" t="s">
        <v>220</v>
      </c>
      <c r="E147" s="448" t="s">
        <v>122</v>
      </c>
      <c r="F147" s="444">
        <v>45383</v>
      </c>
      <c r="G147" s="561" t="s">
        <v>265</v>
      </c>
      <c r="H147" s="446">
        <v>133217</v>
      </c>
      <c r="I147" s="455">
        <f>IF(X147 = 40, H147 + SUM(S147:S162) - SUM(T147:T162) - SUM(P147:P162) - V147,0)</f>
        <v>25202.399999999994</v>
      </c>
      <c r="J147" s="564">
        <v>2353020735</v>
      </c>
      <c r="K147" s="567" t="s">
        <v>156</v>
      </c>
      <c r="L147" s="448" t="s">
        <v>146</v>
      </c>
      <c r="M147" s="448"/>
      <c r="N147" s="299">
        <v>45409</v>
      </c>
      <c r="O147" s="444" t="s">
        <v>194</v>
      </c>
      <c r="P147" s="290">
        <v>3748</v>
      </c>
      <c r="Q147" s="291">
        <v>45427</v>
      </c>
      <c r="R147" s="292"/>
      <c r="S147" s="290"/>
      <c r="T147" s="290"/>
      <c r="U147" s="446"/>
      <c r="V147" s="570"/>
      <c r="W147" s="453"/>
      <c r="X147" s="107">
        <v>40</v>
      </c>
    </row>
    <row r="148" spans="1:24" s="2" customFormat="1" x14ac:dyDescent="0.3">
      <c r="A148" s="476"/>
      <c r="B148" s="452"/>
      <c r="C148" s="452"/>
      <c r="D148" s="452"/>
      <c r="E148" s="452"/>
      <c r="F148" s="459"/>
      <c r="G148" s="562"/>
      <c r="H148" s="460"/>
      <c r="I148" s="461"/>
      <c r="J148" s="565"/>
      <c r="K148" s="568"/>
      <c r="L148" s="452"/>
      <c r="M148" s="452"/>
      <c r="N148" s="300">
        <v>45409</v>
      </c>
      <c r="O148" s="459"/>
      <c r="P148" s="293">
        <v>1398.86</v>
      </c>
      <c r="Q148" s="294">
        <v>45427</v>
      </c>
      <c r="R148" s="295"/>
      <c r="S148" s="293"/>
      <c r="T148" s="293"/>
      <c r="U148" s="460"/>
      <c r="V148" s="571"/>
      <c r="W148" s="458"/>
      <c r="X148" s="2">
        <v>40</v>
      </c>
    </row>
    <row r="149" spans="1:24" s="2" customFormat="1" x14ac:dyDescent="0.3">
      <c r="A149" s="476"/>
      <c r="B149" s="452"/>
      <c r="C149" s="452"/>
      <c r="D149" s="452"/>
      <c r="E149" s="452"/>
      <c r="F149" s="459"/>
      <c r="G149" s="562"/>
      <c r="H149" s="460"/>
      <c r="I149" s="461"/>
      <c r="J149" s="565"/>
      <c r="K149" s="568"/>
      <c r="L149" s="452"/>
      <c r="M149" s="452"/>
      <c r="N149" s="300">
        <v>45409</v>
      </c>
      <c r="O149" s="459"/>
      <c r="P149" s="293">
        <v>1144.54</v>
      </c>
      <c r="Q149" s="294">
        <v>45427</v>
      </c>
      <c r="R149" s="295"/>
      <c r="S149" s="293"/>
      <c r="T149" s="293"/>
      <c r="U149" s="460"/>
      <c r="V149" s="571"/>
      <c r="W149" s="458"/>
      <c r="X149" s="2">
        <v>40</v>
      </c>
    </row>
    <row r="150" spans="1:24" s="2" customFormat="1" x14ac:dyDescent="0.3">
      <c r="A150" s="476"/>
      <c r="B150" s="452"/>
      <c r="C150" s="452"/>
      <c r="D150" s="452"/>
      <c r="E150" s="452"/>
      <c r="F150" s="459"/>
      <c r="G150" s="562"/>
      <c r="H150" s="460"/>
      <c r="I150" s="461"/>
      <c r="J150" s="565"/>
      <c r="K150" s="568"/>
      <c r="L150" s="452"/>
      <c r="M150" s="452"/>
      <c r="N150" s="308">
        <v>45409</v>
      </c>
      <c r="O150" s="459"/>
      <c r="P150" s="293">
        <v>24221.35</v>
      </c>
      <c r="Q150" s="294">
        <v>45427</v>
      </c>
      <c r="R150" s="295"/>
      <c r="S150" s="293"/>
      <c r="T150" s="293"/>
      <c r="U150" s="460"/>
      <c r="V150" s="571"/>
      <c r="W150" s="458"/>
      <c r="X150" s="2">
        <v>40</v>
      </c>
    </row>
    <row r="151" spans="1:24" s="2" customFormat="1" x14ac:dyDescent="0.3">
      <c r="A151" s="476"/>
      <c r="B151" s="452"/>
      <c r="C151" s="452"/>
      <c r="D151" s="452"/>
      <c r="E151" s="452"/>
      <c r="F151" s="459"/>
      <c r="G151" s="562"/>
      <c r="H151" s="460"/>
      <c r="I151" s="461"/>
      <c r="J151" s="565"/>
      <c r="K151" s="568"/>
      <c r="L151" s="452"/>
      <c r="M151" s="452"/>
      <c r="N151" s="300">
        <v>45409</v>
      </c>
      <c r="O151" s="459"/>
      <c r="P151" s="293">
        <v>19817.650000000001</v>
      </c>
      <c r="Q151" s="294">
        <v>45427</v>
      </c>
      <c r="R151" s="295"/>
      <c r="S151" s="293"/>
      <c r="T151" s="293"/>
      <c r="U151" s="460"/>
      <c r="V151" s="571"/>
      <c r="W151" s="458"/>
      <c r="X151" s="2">
        <v>40</v>
      </c>
    </row>
    <row r="152" spans="1:24" s="2" customFormat="1" x14ac:dyDescent="0.3">
      <c r="A152" s="476"/>
      <c r="B152" s="452"/>
      <c r="C152" s="452"/>
      <c r="D152" s="452"/>
      <c r="E152" s="452"/>
      <c r="F152" s="459"/>
      <c r="G152" s="562"/>
      <c r="H152" s="460"/>
      <c r="I152" s="461"/>
      <c r="J152" s="565"/>
      <c r="K152" s="568"/>
      <c r="L152" s="452"/>
      <c r="M152" s="452"/>
      <c r="N152" s="300">
        <v>45409</v>
      </c>
      <c r="O152" s="459"/>
      <c r="P152" s="293">
        <v>14100</v>
      </c>
      <c r="Q152" s="294">
        <v>45427</v>
      </c>
      <c r="R152" s="295"/>
      <c r="S152" s="293"/>
      <c r="T152" s="293"/>
      <c r="U152" s="460"/>
      <c r="V152" s="571"/>
      <c r="W152" s="458"/>
      <c r="X152" s="2">
        <v>40</v>
      </c>
    </row>
    <row r="153" spans="1:24" s="2" customFormat="1" x14ac:dyDescent="0.3">
      <c r="A153" s="476"/>
      <c r="B153" s="452"/>
      <c r="C153" s="452"/>
      <c r="D153" s="452"/>
      <c r="E153" s="452"/>
      <c r="F153" s="459"/>
      <c r="G153" s="562"/>
      <c r="H153" s="460"/>
      <c r="I153" s="461"/>
      <c r="J153" s="565"/>
      <c r="K153" s="568"/>
      <c r="L153" s="452"/>
      <c r="M153" s="452"/>
      <c r="N153" s="308">
        <v>45409</v>
      </c>
      <c r="O153" s="459"/>
      <c r="P153" s="293">
        <v>810</v>
      </c>
      <c r="Q153" s="294">
        <v>45427</v>
      </c>
      <c r="R153" s="295"/>
      <c r="S153" s="293"/>
      <c r="T153" s="293"/>
      <c r="U153" s="460"/>
      <c r="V153" s="571"/>
      <c r="W153" s="458"/>
      <c r="X153" s="2">
        <v>40</v>
      </c>
    </row>
    <row r="154" spans="1:24" s="2" customFormat="1" x14ac:dyDescent="0.3">
      <c r="A154" s="476"/>
      <c r="B154" s="452"/>
      <c r="C154" s="452"/>
      <c r="D154" s="452"/>
      <c r="E154" s="452"/>
      <c r="F154" s="459"/>
      <c r="G154" s="562"/>
      <c r="H154" s="460"/>
      <c r="I154" s="461"/>
      <c r="J154" s="565"/>
      <c r="K154" s="568"/>
      <c r="L154" s="452"/>
      <c r="M154" s="452"/>
      <c r="N154" s="300">
        <v>45409</v>
      </c>
      <c r="O154" s="459"/>
      <c r="P154" s="293">
        <v>1200</v>
      </c>
      <c r="Q154" s="294">
        <v>45428</v>
      </c>
      <c r="R154" s="295"/>
      <c r="S154" s="293"/>
      <c r="T154" s="293"/>
      <c r="U154" s="460"/>
      <c r="V154" s="571"/>
      <c r="W154" s="458"/>
      <c r="X154" s="2">
        <v>40</v>
      </c>
    </row>
    <row r="155" spans="1:24" s="2" customFormat="1" x14ac:dyDescent="0.3">
      <c r="A155" s="476"/>
      <c r="B155" s="452"/>
      <c r="C155" s="452"/>
      <c r="D155" s="452"/>
      <c r="E155" s="452"/>
      <c r="F155" s="459"/>
      <c r="G155" s="562"/>
      <c r="H155" s="460"/>
      <c r="I155" s="461"/>
      <c r="J155" s="565"/>
      <c r="K155" s="568"/>
      <c r="L155" s="452"/>
      <c r="M155" s="452"/>
      <c r="N155" s="300">
        <v>45436</v>
      </c>
      <c r="O155" s="459"/>
      <c r="P155" s="293">
        <v>2436.1999999999998</v>
      </c>
      <c r="Q155" s="294">
        <v>45449</v>
      </c>
      <c r="R155" s="295"/>
      <c r="S155" s="293"/>
      <c r="T155" s="293"/>
      <c r="U155" s="460"/>
      <c r="V155" s="571"/>
      <c r="W155" s="458"/>
      <c r="X155" s="2">
        <v>40</v>
      </c>
    </row>
    <row r="156" spans="1:24" s="2" customFormat="1" x14ac:dyDescent="0.3">
      <c r="A156" s="476"/>
      <c r="B156" s="452"/>
      <c r="C156" s="452"/>
      <c r="D156" s="452"/>
      <c r="E156" s="452"/>
      <c r="F156" s="459"/>
      <c r="G156" s="562"/>
      <c r="H156" s="460"/>
      <c r="I156" s="461"/>
      <c r="J156" s="565"/>
      <c r="K156" s="568"/>
      <c r="L156" s="452"/>
      <c r="M156" s="452"/>
      <c r="N156" s="308">
        <v>45436</v>
      </c>
      <c r="O156" s="459"/>
      <c r="P156" s="293">
        <v>780</v>
      </c>
      <c r="Q156" s="294">
        <v>45449</v>
      </c>
      <c r="R156" s="295"/>
      <c r="S156" s="293"/>
      <c r="T156" s="293"/>
      <c r="U156" s="460"/>
      <c r="V156" s="571"/>
      <c r="W156" s="458"/>
      <c r="X156" s="2">
        <v>40</v>
      </c>
    </row>
    <row r="157" spans="1:24" s="2" customFormat="1" x14ac:dyDescent="0.3">
      <c r="A157" s="476"/>
      <c r="B157" s="452"/>
      <c r="C157" s="452"/>
      <c r="D157" s="452"/>
      <c r="E157" s="452"/>
      <c r="F157" s="459"/>
      <c r="G157" s="562"/>
      <c r="H157" s="460"/>
      <c r="I157" s="461"/>
      <c r="J157" s="565"/>
      <c r="K157" s="568"/>
      <c r="L157" s="452"/>
      <c r="M157" s="452"/>
      <c r="N157" s="300">
        <v>45436</v>
      </c>
      <c r="O157" s="459"/>
      <c r="P157" s="293">
        <v>1139.82</v>
      </c>
      <c r="Q157" s="294">
        <v>45449</v>
      </c>
      <c r="R157" s="295"/>
      <c r="S157" s="293"/>
      <c r="T157" s="293"/>
      <c r="U157" s="460"/>
      <c r="V157" s="571"/>
      <c r="W157" s="458"/>
      <c r="X157" s="2">
        <v>40</v>
      </c>
    </row>
    <row r="158" spans="1:24" s="2" customFormat="1" x14ac:dyDescent="0.3">
      <c r="A158" s="476"/>
      <c r="B158" s="452"/>
      <c r="C158" s="452"/>
      <c r="D158" s="452"/>
      <c r="E158" s="452"/>
      <c r="F158" s="459"/>
      <c r="G158" s="562"/>
      <c r="H158" s="460"/>
      <c r="I158" s="461"/>
      <c r="J158" s="565"/>
      <c r="K158" s="568"/>
      <c r="L158" s="452"/>
      <c r="M158" s="452"/>
      <c r="N158" s="308">
        <v>45436</v>
      </c>
      <c r="O158" s="459"/>
      <c r="P158" s="293">
        <v>932.58</v>
      </c>
      <c r="Q158" s="294">
        <v>45449</v>
      </c>
      <c r="R158" s="295"/>
      <c r="S158" s="293"/>
      <c r="T158" s="293"/>
      <c r="U158" s="460"/>
      <c r="V158" s="571"/>
      <c r="W158" s="458"/>
      <c r="X158" s="2">
        <v>40</v>
      </c>
    </row>
    <row r="159" spans="1:24" s="2" customFormat="1" x14ac:dyDescent="0.3">
      <c r="A159" s="476"/>
      <c r="B159" s="452"/>
      <c r="C159" s="452"/>
      <c r="D159" s="452"/>
      <c r="E159" s="452"/>
      <c r="F159" s="459"/>
      <c r="G159" s="562"/>
      <c r="H159" s="460"/>
      <c r="I159" s="461"/>
      <c r="J159" s="565"/>
      <c r="K159" s="568"/>
      <c r="L159" s="452"/>
      <c r="M159" s="452"/>
      <c r="N159" s="300">
        <v>45436</v>
      </c>
      <c r="O159" s="459"/>
      <c r="P159" s="293">
        <v>8640</v>
      </c>
      <c r="Q159" s="294">
        <v>45449</v>
      </c>
      <c r="R159" s="295"/>
      <c r="S159" s="293"/>
      <c r="T159" s="293"/>
      <c r="U159" s="460"/>
      <c r="V159" s="571"/>
      <c r="W159" s="458"/>
      <c r="X159" s="2">
        <v>40</v>
      </c>
    </row>
    <row r="160" spans="1:24" s="2" customFormat="1" x14ac:dyDescent="0.3">
      <c r="A160" s="476"/>
      <c r="B160" s="452"/>
      <c r="C160" s="452"/>
      <c r="D160" s="452"/>
      <c r="E160" s="452"/>
      <c r="F160" s="459"/>
      <c r="G160" s="562"/>
      <c r="H160" s="460"/>
      <c r="I160" s="461"/>
      <c r="J160" s="565"/>
      <c r="K160" s="568"/>
      <c r="L160" s="452"/>
      <c r="M160" s="452"/>
      <c r="N160" s="308">
        <v>45436</v>
      </c>
      <c r="O160" s="459"/>
      <c r="P160" s="293">
        <v>660</v>
      </c>
      <c r="Q160" s="294">
        <v>45449</v>
      </c>
      <c r="R160" s="295"/>
      <c r="S160" s="293"/>
      <c r="T160" s="293"/>
      <c r="U160" s="460"/>
      <c r="V160" s="571"/>
      <c r="W160" s="458"/>
      <c r="X160" s="2">
        <v>40</v>
      </c>
    </row>
    <row r="161" spans="1:24" s="2" customFormat="1" x14ac:dyDescent="0.3">
      <c r="A161" s="476"/>
      <c r="B161" s="452"/>
      <c r="C161" s="452"/>
      <c r="D161" s="452"/>
      <c r="E161" s="452"/>
      <c r="F161" s="459"/>
      <c r="G161" s="562"/>
      <c r="H161" s="460"/>
      <c r="I161" s="461"/>
      <c r="J161" s="565"/>
      <c r="K161" s="568"/>
      <c r="L161" s="452"/>
      <c r="M161" s="452"/>
      <c r="N161" s="300">
        <v>45436</v>
      </c>
      <c r="O161" s="459"/>
      <c r="P161" s="293">
        <v>14842.02</v>
      </c>
      <c r="Q161" s="294">
        <v>45449</v>
      </c>
      <c r="R161" s="295"/>
      <c r="S161" s="293"/>
      <c r="T161" s="293"/>
      <c r="U161" s="460"/>
      <c r="V161" s="571"/>
      <c r="W161" s="458"/>
      <c r="X161" s="2">
        <v>40</v>
      </c>
    </row>
    <row r="162" spans="1:24" s="2" customFormat="1" x14ac:dyDescent="0.3">
      <c r="A162" s="443"/>
      <c r="B162" s="449"/>
      <c r="C162" s="449"/>
      <c r="D162" s="449"/>
      <c r="E162" s="449"/>
      <c r="F162" s="445"/>
      <c r="G162" s="563"/>
      <c r="H162" s="447"/>
      <c r="I162" s="456"/>
      <c r="J162" s="566"/>
      <c r="K162" s="569"/>
      <c r="L162" s="449"/>
      <c r="M162" s="449"/>
      <c r="N162" s="308">
        <v>45436</v>
      </c>
      <c r="O162" s="445"/>
      <c r="P162" s="296">
        <v>12143.58</v>
      </c>
      <c r="Q162" s="294">
        <v>45449</v>
      </c>
      <c r="R162" s="298"/>
      <c r="S162" s="296"/>
      <c r="T162" s="296"/>
      <c r="U162" s="447"/>
      <c r="V162" s="572"/>
      <c r="W162" s="454"/>
      <c r="X162" s="2">
        <v>40</v>
      </c>
    </row>
    <row r="163" spans="1:24" s="107" customFormat="1" ht="108" customHeight="1" x14ac:dyDescent="0.3">
      <c r="A163" s="442">
        <v>24</v>
      </c>
      <c r="B163" s="448" t="s">
        <v>56</v>
      </c>
      <c r="C163" s="448" t="s">
        <v>146</v>
      </c>
      <c r="D163" s="448" t="s">
        <v>147</v>
      </c>
      <c r="E163" s="448" t="s">
        <v>123</v>
      </c>
      <c r="F163" s="444">
        <v>45383</v>
      </c>
      <c r="G163" s="561" t="s">
        <v>265</v>
      </c>
      <c r="H163" s="446">
        <v>540823.15</v>
      </c>
      <c r="I163" s="455">
        <f>IF(X163 = 41, H163 + SUM(S163:S181) - SUM(T163:T181) - SUM(P163:P181) - V163,0)</f>
        <v>70203.590000000026</v>
      </c>
      <c r="J163" s="564">
        <v>2353020735</v>
      </c>
      <c r="K163" s="567" t="s">
        <v>156</v>
      </c>
      <c r="L163" s="448" t="s">
        <v>146</v>
      </c>
      <c r="M163" s="448"/>
      <c r="N163" s="299">
        <v>45387</v>
      </c>
      <c r="O163" s="444" t="s">
        <v>194</v>
      </c>
      <c r="P163" s="290">
        <v>17160</v>
      </c>
      <c r="Q163" s="291">
        <v>45408</v>
      </c>
      <c r="R163" s="292"/>
      <c r="S163" s="290"/>
      <c r="T163" s="290"/>
      <c r="U163" s="446"/>
      <c r="V163" s="570"/>
      <c r="W163" s="453"/>
      <c r="X163" s="107">
        <v>41</v>
      </c>
    </row>
    <row r="164" spans="1:24" s="2" customFormat="1" x14ac:dyDescent="0.3">
      <c r="A164" s="476"/>
      <c r="B164" s="452"/>
      <c r="C164" s="452"/>
      <c r="D164" s="452"/>
      <c r="E164" s="452"/>
      <c r="F164" s="459"/>
      <c r="G164" s="562"/>
      <c r="H164" s="460"/>
      <c r="I164" s="461"/>
      <c r="J164" s="565"/>
      <c r="K164" s="568"/>
      <c r="L164" s="452"/>
      <c r="M164" s="452"/>
      <c r="N164" s="300">
        <v>45387</v>
      </c>
      <c r="O164" s="459"/>
      <c r="P164" s="293">
        <v>49289.08</v>
      </c>
      <c r="Q164" s="294">
        <v>45408</v>
      </c>
      <c r="R164" s="295"/>
      <c r="S164" s="293"/>
      <c r="T164" s="293"/>
      <c r="U164" s="460"/>
      <c r="V164" s="571"/>
      <c r="W164" s="458"/>
      <c r="X164" s="2">
        <v>41</v>
      </c>
    </row>
    <row r="165" spans="1:24" s="2" customFormat="1" x14ac:dyDescent="0.3">
      <c r="A165" s="476"/>
      <c r="B165" s="452"/>
      <c r="C165" s="452"/>
      <c r="D165" s="452"/>
      <c r="E165" s="452"/>
      <c r="F165" s="459"/>
      <c r="G165" s="562"/>
      <c r="H165" s="460"/>
      <c r="I165" s="461"/>
      <c r="J165" s="565"/>
      <c r="K165" s="568"/>
      <c r="L165" s="452"/>
      <c r="M165" s="452"/>
      <c r="N165" s="300">
        <v>45387</v>
      </c>
      <c r="O165" s="459"/>
      <c r="P165" s="293">
        <v>3146.16</v>
      </c>
      <c r="Q165" s="294">
        <v>45408</v>
      </c>
      <c r="R165" s="295"/>
      <c r="S165" s="293"/>
      <c r="T165" s="293"/>
      <c r="U165" s="460"/>
      <c r="V165" s="571"/>
      <c r="W165" s="458"/>
      <c r="X165" s="2">
        <v>41</v>
      </c>
    </row>
    <row r="166" spans="1:24" s="2" customFormat="1" x14ac:dyDescent="0.3">
      <c r="A166" s="476"/>
      <c r="B166" s="452"/>
      <c r="C166" s="452"/>
      <c r="D166" s="452"/>
      <c r="E166" s="452"/>
      <c r="F166" s="459"/>
      <c r="G166" s="562"/>
      <c r="H166" s="460"/>
      <c r="I166" s="461"/>
      <c r="J166" s="565"/>
      <c r="K166" s="568"/>
      <c r="L166" s="452"/>
      <c r="M166" s="452"/>
      <c r="N166" s="300">
        <v>45401</v>
      </c>
      <c r="O166" s="459"/>
      <c r="P166" s="293">
        <v>32880</v>
      </c>
      <c r="Q166" s="294">
        <v>45408</v>
      </c>
      <c r="R166" s="295"/>
      <c r="S166" s="293"/>
      <c r="T166" s="293"/>
      <c r="U166" s="460"/>
      <c r="V166" s="571"/>
      <c r="W166" s="458"/>
      <c r="X166" s="2">
        <v>41</v>
      </c>
    </row>
    <row r="167" spans="1:24" s="2" customFormat="1" x14ac:dyDescent="0.3">
      <c r="A167" s="476"/>
      <c r="B167" s="452"/>
      <c r="C167" s="452"/>
      <c r="D167" s="452"/>
      <c r="E167" s="452"/>
      <c r="F167" s="459"/>
      <c r="G167" s="562"/>
      <c r="H167" s="460"/>
      <c r="I167" s="461"/>
      <c r="J167" s="565"/>
      <c r="K167" s="568"/>
      <c r="L167" s="452"/>
      <c r="M167" s="452"/>
      <c r="N167" s="300">
        <v>45401</v>
      </c>
      <c r="O167" s="459"/>
      <c r="P167" s="293">
        <v>94442.01</v>
      </c>
      <c r="Q167" s="294">
        <v>45408</v>
      </c>
      <c r="R167" s="295"/>
      <c r="S167" s="293"/>
      <c r="T167" s="293"/>
      <c r="U167" s="460"/>
      <c r="V167" s="571"/>
      <c r="W167" s="458"/>
      <c r="X167" s="2">
        <v>41</v>
      </c>
    </row>
    <row r="168" spans="1:24" s="2" customFormat="1" x14ac:dyDescent="0.3">
      <c r="A168" s="476"/>
      <c r="B168" s="452"/>
      <c r="C168" s="452"/>
      <c r="D168" s="452"/>
      <c r="E168" s="452"/>
      <c r="F168" s="459"/>
      <c r="G168" s="562"/>
      <c r="H168" s="460"/>
      <c r="I168" s="461"/>
      <c r="J168" s="565"/>
      <c r="K168" s="568"/>
      <c r="L168" s="452"/>
      <c r="M168" s="452"/>
      <c r="N168" s="300">
        <v>45401</v>
      </c>
      <c r="O168" s="459"/>
      <c r="P168" s="293">
        <v>6028.31</v>
      </c>
      <c r="Q168" s="294">
        <v>45408</v>
      </c>
      <c r="R168" s="295"/>
      <c r="S168" s="293"/>
      <c r="T168" s="293"/>
      <c r="U168" s="460"/>
      <c r="V168" s="571"/>
      <c r="W168" s="458"/>
      <c r="X168" s="2">
        <v>41</v>
      </c>
    </row>
    <row r="169" spans="1:24" s="2" customFormat="1" x14ac:dyDescent="0.3">
      <c r="A169" s="476"/>
      <c r="B169" s="452"/>
      <c r="C169" s="452"/>
      <c r="D169" s="452"/>
      <c r="E169" s="452"/>
      <c r="F169" s="459"/>
      <c r="G169" s="562"/>
      <c r="H169" s="460"/>
      <c r="I169" s="461"/>
      <c r="J169" s="565"/>
      <c r="K169" s="568"/>
      <c r="L169" s="452"/>
      <c r="M169" s="452"/>
      <c r="N169" s="300">
        <v>45409</v>
      </c>
      <c r="O169" s="459"/>
      <c r="P169" s="293">
        <v>19830</v>
      </c>
      <c r="Q169" s="294">
        <v>45427</v>
      </c>
      <c r="R169" s="295"/>
      <c r="S169" s="293"/>
      <c r="T169" s="293"/>
      <c r="U169" s="460"/>
      <c r="V169" s="571"/>
      <c r="W169" s="458"/>
      <c r="X169" s="2">
        <v>41</v>
      </c>
    </row>
    <row r="170" spans="1:24" s="2" customFormat="1" x14ac:dyDescent="0.3">
      <c r="A170" s="476"/>
      <c r="B170" s="452"/>
      <c r="C170" s="452"/>
      <c r="D170" s="452"/>
      <c r="E170" s="452"/>
      <c r="F170" s="459"/>
      <c r="G170" s="562"/>
      <c r="H170" s="460"/>
      <c r="I170" s="461"/>
      <c r="J170" s="565"/>
      <c r="K170" s="568"/>
      <c r="L170" s="452"/>
      <c r="M170" s="452"/>
      <c r="N170" s="300">
        <v>45415</v>
      </c>
      <c r="O170" s="459"/>
      <c r="P170" s="293">
        <v>6390</v>
      </c>
      <c r="Q170" s="294">
        <v>45427</v>
      </c>
      <c r="R170" s="295"/>
      <c r="S170" s="293"/>
      <c r="T170" s="293"/>
      <c r="U170" s="460"/>
      <c r="V170" s="571"/>
      <c r="W170" s="458"/>
      <c r="X170" s="2">
        <v>41</v>
      </c>
    </row>
    <row r="171" spans="1:24" s="2" customFormat="1" x14ac:dyDescent="0.3">
      <c r="A171" s="476"/>
      <c r="B171" s="452"/>
      <c r="C171" s="452"/>
      <c r="D171" s="452"/>
      <c r="E171" s="452"/>
      <c r="F171" s="459"/>
      <c r="G171" s="562"/>
      <c r="H171" s="460"/>
      <c r="I171" s="461"/>
      <c r="J171" s="565"/>
      <c r="K171" s="568"/>
      <c r="L171" s="452"/>
      <c r="M171" s="452"/>
      <c r="N171" s="300">
        <v>45409</v>
      </c>
      <c r="O171" s="459"/>
      <c r="P171" s="293">
        <v>56958.18</v>
      </c>
      <c r="Q171" s="294">
        <v>45429</v>
      </c>
      <c r="R171" s="295"/>
      <c r="S171" s="293"/>
      <c r="T171" s="293"/>
      <c r="U171" s="460"/>
      <c r="V171" s="571"/>
      <c r="W171" s="458"/>
      <c r="X171" s="2">
        <v>41</v>
      </c>
    </row>
    <row r="172" spans="1:24" s="2" customFormat="1" x14ac:dyDescent="0.3">
      <c r="A172" s="476"/>
      <c r="B172" s="452"/>
      <c r="C172" s="452"/>
      <c r="D172" s="452"/>
      <c r="E172" s="452"/>
      <c r="F172" s="459"/>
      <c r="G172" s="562"/>
      <c r="H172" s="460"/>
      <c r="I172" s="461"/>
      <c r="J172" s="565"/>
      <c r="K172" s="568"/>
      <c r="L172" s="452"/>
      <c r="M172" s="452"/>
      <c r="N172" s="300">
        <v>45409</v>
      </c>
      <c r="O172" s="459"/>
      <c r="P172" s="293">
        <v>3635.69</v>
      </c>
      <c r="Q172" s="294">
        <v>45429</v>
      </c>
      <c r="R172" s="295"/>
      <c r="S172" s="293"/>
      <c r="T172" s="293"/>
      <c r="U172" s="460"/>
      <c r="V172" s="571"/>
      <c r="W172" s="458"/>
      <c r="X172" s="2">
        <v>41</v>
      </c>
    </row>
    <row r="173" spans="1:24" s="2" customFormat="1" x14ac:dyDescent="0.3">
      <c r="A173" s="476"/>
      <c r="B173" s="452"/>
      <c r="C173" s="452"/>
      <c r="D173" s="452"/>
      <c r="E173" s="452"/>
      <c r="F173" s="459"/>
      <c r="G173" s="562"/>
      <c r="H173" s="460"/>
      <c r="I173" s="461"/>
      <c r="J173" s="565"/>
      <c r="K173" s="568"/>
      <c r="L173" s="452"/>
      <c r="M173" s="452"/>
      <c r="N173" s="300">
        <v>45415</v>
      </c>
      <c r="O173" s="459"/>
      <c r="P173" s="293">
        <v>18354.150000000001</v>
      </c>
      <c r="Q173" s="294">
        <v>45429</v>
      </c>
      <c r="R173" s="295"/>
      <c r="S173" s="293"/>
      <c r="T173" s="293"/>
      <c r="U173" s="460"/>
      <c r="V173" s="571"/>
      <c r="W173" s="458"/>
      <c r="X173" s="2">
        <v>41</v>
      </c>
    </row>
    <row r="174" spans="1:24" s="2" customFormat="1" x14ac:dyDescent="0.3">
      <c r="A174" s="476"/>
      <c r="B174" s="452"/>
      <c r="C174" s="452"/>
      <c r="D174" s="452"/>
      <c r="E174" s="452"/>
      <c r="F174" s="459"/>
      <c r="G174" s="562"/>
      <c r="H174" s="460"/>
      <c r="I174" s="461"/>
      <c r="J174" s="565"/>
      <c r="K174" s="568"/>
      <c r="L174" s="452"/>
      <c r="M174" s="452"/>
      <c r="N174" s="300">
        <v>45415</v>
      </c>
      <c r="O174" s="459"/>
      <c r="P174" s="293">
        <v>1171.56</v>
      </c>
      <c r="Q174" s="294">
        <v>45429</v>
      </c>
      <c r="R174" s="295"/>
      <c r="S174" s="293"/>
      <c r="T174" s="293"/>
      <c r="U174" s="460"/>
      <c r="V174" s="571"/>
      <c r="W174" s="458"/>
      <c r="X174" s="2">
        <v>41</v>
      </c>
    </row>
    <row r="175" spans="1:24" s="2" customFormat="1" x14ac:dyDescent="0.3">
      <c r="A175" s="476"/>
      <c r="B175" s="452"/>
      <c r="C175" s="452"/>
      <c r="D175" s="452"/>
      <c r="E175" s="452"/>
      <c r="F175" s="459"/>
      <c r="G175" s="562"/>
      <c r="H175" s="460"/>
      <c r="I175" s="461"/>
      <c r="J175" s="565"/>
      <c r="K175" s="568"/>
      <c r="L175" s="452"/>
      <c r="M175" s="452"/>
      <c r="N175" s="300">
        <v>45429</v>
      </c>
      <c r="O175" s="459"/>
      <c r="P175" s="293">
        <v>23070</v>
      </c>
      <c r="Q175" s="294">
        <v>45439</v>
      </c>
      <c r="R175" s="295"/>
      <c r="S175" s="293"/>
      <c r="T175" s="293"/>
      <c r="U175" s="460"/>
      <c r="V175" s="571"/>
      <c r="W175" s="458"/>
      <c r="X175" s="2">
        <v>41</v>
      </c>
    </row>
    <row r="176" spans="1:24" s="2" customFormat="1" x14ac:dyDescent="0.3">
      <c r="A176" s="476"/>
      <c r="B176" s="452"/>
      <c r="C176" s="452"/>
      <c r="D176" s="452"/>
      <c r="E176" s="452"/>
      <c r="F176" s="459"/>
      <c r="G176" s="562"/>
      <c r="H176" s="460"/>
      <c r="I176" s="461"/>
      <c r="J176" s="565"/>
      <c r="K176" s="568"/>
      <c r="L176" s="452"/>
      <c r="M176" s="452"/>
      <c r="N176" s="300">
        <v>45429</v>
      </c>
      <c r="O176" s="459"/>
      <c r="P176" s="293">
        <v>66264.509999999995</v>
      </c>
      <c r="Q176" s="294">
        <v>45439</v>
      </c>
      <c r="R176" s="295"/>
      <c r="S176" s="293"/>
      <c r="T176" s="293"/>
      <c r="U176" s="460"/>
      <c r="V176" s="571"/>
      <c r="W176" s="458"/>
      <c r="X176" s="2">
        <v>41</v>
      </c>
    </row>
    <row r="177" spans="1:24" s="2" customFormat="1" x14ac:dyDescent="0.3">
      <c r="A177" s="476"/>
      <c r="B177" s="452"/>
      <c r="C177" s="452"/>
      <c r="D177" s="452"/>
      <c r="E177" s="452"/>
      <c r="F177" s="459"/>
      <c r="G177" s="562"/>
      <c r="H177" s="460"/>
      <c r="I177" s="461"/>
      <c r="J177" s="565"/>
      <c r="K177" s="568"/>
      <c r="L177" s="452"/>
      <c r="M177" s="452"/>
      <c r="N177" s="300">
        <v>45429</v>
      </c>
      <c r="O177" s="459"/>
      <c r="P177" s="293">
        <v>4229.72</v>
      </c>
      <c r="Q177" s="294">
        <v>45439</v>
      </c>
      <c r="R177" s="295"/>
      <c r="S177" s="293"/>
      <c r="T177" s="293"/>
      <c r="U177" s="460"/>
      <c r="V177" s="571"/>
      <c r="W177" s="458"/>
      <c r="X177" s="2">
        <v>41</v>
      </c>
    </row>
    <row r="178" spans="1:24" s="2" customFormat="1" x14ac:dyDescent="0.3">
      <c r="A178" s="476"/>
      <c r="B178" s="452"/>
      <c r="C178" s="452"/>
      <c r="D178" s="452"/>
      <c r="E178" s="452"/>
      <c r="F178" s="459"/>
      <c r="G178" s="562"/>
      <c r="H178" s="460"/>
      <c r="I178" s="461"/>
      <c r="J178" s="565"/>
      <c r="K178" s="568"/>
      <c r="L178" s="452"/>
      <c r="M178" s="452"/>
      <c r="N178" s="300">
        <v>45436</v>
      </c>
      <c r="O178" s="459"/>
      <c r="P178" s="293">
        <v>16710</v>
      </c>
      <c r="Q178" s="294">
        <v>45449</v>
      </c>
      <c r="R178" s="295"/>
      <c r="S178" s="293"/>
      <c r="T178" s="293"/>
      <c r="U178" s="460"/>
      <c r="V178" s="571"/>
      <c r="W178" s="458"/>
      <c r="X178" s="2">
        <v>41</v>
      </c>
    </row>
    <row r="179" spans="1:24" s="2" customFormat="1" x14ac:dyDescent="0.3">
      <c r="A179" s="476"/>
      <c r="B179" s="452"/>
      <c r="C179" s="452"/>
      <c r="D179" s="452"/>
      <c r="E179" s="452"/>
      <c r="F179" s="459"/>
      <c r="G179" s="562"/>
      <c r="H179" s="460"/>
      <c r="I179" s="461"/>
      <c r="J179" s="565"/>
      <c r="K179" s="568"/>
      <c r="L179" s="452"/>
      <c r="M179" s="452"/>
      <c r="N179" s="300">
        <v>45436</v>
      </c>
      <c r="O179" s="459"/>
      <c r="P179" s="293">
        <v>47996.53</v>
      </c>
      <c r="Q179" s="294">
        <v>45449</v>
      </c>
      <c r="R179" s="295"/>
      <c r="S179" s="293"/>
      <c r="T179" s="293"/>
      <c r="U179" s="460"/>
      <c r="V179" s="571"/>
      <c r="W179" s="458"/>
      <c r="X179" s="2">
        <v>41</v>
      </c>
    </row>
    <row r="180" spans="1:24" s="2" customFormat="1" x14ac:dyDescent="0.3">
      <c r="A180" s="476"/>
      <c r="B180" s="452"/>
      <c r="C180" s="452"/>
      <c r="D180" s="452"/>
      <c r="E180" s="452"/>
      <c r="F180" s="459"/>
      <c r="G180" s="562"/>
      <c r="H180" s="460"/>
      <c r="I180" s="461"/>
      <c r="J180" s="565"/>
      <c r="K180" s="568"/>
      <c r="L180" s="452"/>
      <c r="M180" s="452"/>
      <c r="N180" s="300">
        <v>45436</v>
      </c>
      <c r="O180" s="459"/>
      <c r="P180" s="293">
        <v>3063.66</v>
      </c>
      <c r="Q180" s="294">
        <v>45449</v>
      </c>
      <c r="R180" s="295"/>
      <c r="S180" s="293"/>
      <c r="T180" s="293"/>
      <c r="U180" s="460"/>
      <c r="V180" s="571"/>
      <c r="W180" s="458"/>
      <c r="X180" s="2">
        <v>41</v>
      </c>
    </row>
    <row r="181" spans="1:24" s="2" customFormat="1" x14ac:dyDescent="0.3">
      <c r="A181" s="443"/>
      <c r="B181" s="449"/>
      <c r="C181" s="449"/>
      <c r="D181" s="449"/>
      <c r="E181" s="449"/>
      <c r="F181" s="445"/>
      <c r="G181" s="563"/>
      <c r="H181" s="447"/>
      <c r="I181" s="456"/>
      <c r="J181" s="566"/>
      <c r="K181" s="569"/>
      <c r="L181" s="449"/>
      <c r="M181" s="449"/>
      <c r="N181" s="301"/>
      <c r="O181" s="445"/>
      <c r="P181" s="296"/>
      <c r="Q181" s="297"/>
      <c r="R181" s="298"/>
      <c r="S181" s="296"/>
      <c r="T181" s="296"/>
      <c r="U181" s="447"/>
      <c r="V181" s="572"/>
      <c r="W181" s="454"/>
      <c r="X181" s="2">
        <v>41</v>
      </c>
    </row>
    <row r="182" spans="1:24" s="107" customFormat="1" ht="108" customHeight="1" x14ac:dyDescent="0.3">
      <c r="A182" s="237">
        <v>25</v>
      </c>
      <c r="B182" s="236" t="s">
        <v>56</v>
      </c>
      <c r="C182" s="236" t="s">
        <v>146</v>
      </c>
      <c r="D182" s="236" t="s">
        <v>147</v>
      </c>
      <c r="E182" s="236" t="s">
        <v>280</v>
      </c>
      <c r="F182" s="233">
        <v>45414</v>
      </c>
      <c r="G182" s="235" t="s">
        <v>281</v>
      </c>
      <c r="H182" s="234">
        <v>18970</v>
      </c>
      <c r="I182" s="238">
        <f>IF(X182 = 42, H182 + SUM(S182:S182) - SUM(T182:T182) - SUM(P182:P182) - V182,0)</f>
        <v>0</v>
      </c>
      <c r="J182" s="239">
        <v>235002152355</v>
      </c>
      <c r="K182" s="240" t="s">
        <v>238</v>
      </c>
      <c r="L182" s="236" t="s">
        <v>146</v>
      </c>
      <c r="M182" s="236"/>
      <c r="N182" s="233"/>
      <c r="O182" s="233" t="s">
        <v>194</v>
      </c>
      <c r="P182" s="234">
        <v>18970</v>
      </c>
      <c r="Q182" s="235">
        <v>45418</v>
      </c>
      <c r="R182" s="236"/>
      <c r="S182" s="234"/>
      <c r="T182" s="234"/>
      <c r="U182" s="234"/>
      <c r="V182" s="241"/>
      <c r="W182" s="242"/>
      <c r="X182" s="107">
        <v>42</v>
      </c>
    </row>
    <row r="183" spans="1:24" s="107" customFormat="1" ht="108" x14ac:dyDescent="0.3">
      <c r="A183" s="253">
        <v>26</v>
      </c>
      <c r="B183" s="254" t="s">
        <v>56</v>
      </c>
      <c r="C183" s="254" t="s">
        <v>146</v>
      </c>
      <c r="D183" s="254" t="s">
        <v>147</v>
      </c>
      <c r="E183" s="254" t="s">
        <v>283</v>
      </c>
      <c r="F183" s="255">
        <v>45414</v>
      </c>
      <c r="G183" s="256" t="s">
        <v>282</v>
      </c>
      <c r="H183" s="257">
        <v>8375</v>
      </c>
      <c r="I183" s="258">
        <f>IF(X183 = 43, H183 + SUM(S183:S183) - SUM(T183:T183) - SUM(P183:P183) - V183,0)</f>
        <v>0</v>
      </c>
      <c r="J183" s="259">
        <v>235002152355</v>
      </c>
      <c r="K183" s="260" t="s">
        <v>238</v>
      </c>
      <c r="L183" s="261" t="s">
        <v>146</v>
      </c>
      <c r="M183" s="254"/>
      <c r="N183" s="255"/>
      <c r="O183" s="255" t="s">
        <v>194</v>
      </c>
      <c r="P183" s="257">
        <v>8375</v>
      </c>
      <c r="Q183" s="256">
        <v>45418</v>
      </c>
      <c r="R183" s="254"/>
      <c r="S183" s="257"/>
      <c r="T183" s="257"/>
      <c r="U183" s="257"/>
      <c r="V183" s="262"/>
      <c r="W183" s="263"/>
      <c r="X183" s="107">
        <v>43</v>
      </c>
    </row>
    <row r="184" spans="1:24" s="107" customFormat="1" ht="108" x14ac:dyDescent="0.3">
      <c r="A184" s="243">
        <v>27</v>
      </c>
      <c r="B184" s="244" t="s">
        <v>56</v>
      </c>
      <c r="C184" s="244" t="s">
        <v>146</v>
      </c>
      <c r="D184" s="244" t="s">
        <v>147</v>
      </c>
      <c r="E184" s="244" t="s">
        <v>284</v>
      </c>
      <c r="F184" s="245">
        <v>45415</v>
      </c>
      <c r="G184" s="246" t="s">
        <v>285</v>
      </c>
      <c r="H184" s="247">
        <v>2200</v>
      </c>
      <c r="I184" s="248">
        <f>IF(X184 = 44, H184 + SUM(S184:S184) - SUM(T184:T184) - SUM(P184:P184) - V184,0)</f>
        <v>0</v>
      </c>
      <c r="J184" s="249">
        <v>235305769122</v>
      </c>
      <c r="K184" s="250" t="s">
        <v>160</v>
      </c>
      <c r="L184" s="244" t="s">
        <v>146</v>
      </c>
      <c r="M184" s="244"/>
      <c r="N184" s="245">
        <v>45415</v>
      </c>
      <c r="O184" s="245" t="s">
        <v>194</v>
      </c>
      <c r="P184" s="247">
        <v>2200</v>
      </c>
      <c r="Q184" s="246">
        <v>45427</v>
      </c>
      <c r="R184" s="244"/>
      <c r="S184" s="247"/>
      <c r="T184" s="247"/>
      <c r="U184" s="247"/>
      <c r="V184" s="251"/>
      <c r="W184" s="252"/>
      <c r="X184" s="107">
        <v>44</v>
      </c>
    </row>
    <row r="185" spans="1:24" s="107" customFormat="1" ht="108" customHeight="1" x14ac:dyDescent="0.3">
      <c r="A185" s="462">
        <v>28</v>
      </c>
      <c r="B185" s="468" t="s">
        <v>56</v>
      </c>
      <c r="C185" s="468" t="s">
        <v>146</v>
      </c>
      <c r="D185" s="468" t="s">
        <v>147</v>
      </c>
      <c r="E185" s="468" t="s">
        <v>301</v>
      </c>
      <c r="F185" s="464">
        <v>45457</v>
      </c>
      <c r="G185" s="586" t="s">
        <v>302</v>
      </c>
      <c r="H185" s="466">
        <v>100710</v>
      </c>
      <c r="I185" s="474">
        <f>IF(X185 = 45, H185 + SUM(S185:S187) - SUM(T185:T187) - SUM(P185:P187) - V185,0)</f>
        <v>0</v>
      </c>
      <c r="J185" s="579">
        <v>23530020735</v>
      </c>
      <c r="K185" s="582" t="s">
        <v>156</v>
      </c>
      <c r="L185" s="468" t="s">
        <v>146</v>
      </c>
      <c r="M185" s="468"/>
      <c r="N185" s="340">
        <v>45478</v>
      </c>
      <c r="O185" s="464" t="s">
        <v>194</v>
      </c>
      <c r="P185" s="325">
        <v>11190</v>
      </c>
      <c r="Q185" s="326">
        <v>45489</v>
      </c>
      <c r="R185" s="327"/>
      <c r="S185" s="325"/>
      <c r="T185" s="325"/>
      <c r="U185" s="466"/>
      <c r="V185" s="575"/>
      <c r="W185" s="472"/>
      <c r="X185" s="107">
        <v>45</v>
      </c>
    </row>
    <row r="186" spans="1:24" s="2" customFormat="1" x14ac:dyDescent="0.3">
      <c r="A186" s="588"/>
      <c r="B186" s="585"/>
      <c r="C186" s="585"/>
      <c r="D186" s="585"/>
      <c r="E186" s="585"/>
      <c r="F186" s="573"/>
      <c r="G186" s="589"/>
      <c r="H186" s="574"/>
      <c r="I186" s="590"/>
      <c r="J186" s="580"/>
      <c r="K186" s="583"/>
      <c r="L186" s="585"/>
      <c r="M186" s="585"/>
      <c r="N186" s="341">
        <v>45478</v>
      </c>
      <c r="O186" s="573"/>
      <c r="P186" s="328">
        <v>17904</v>
      </c>
      <c r="Q186" s="329">
        <v>45489</v>
      </c>
      <c r="R186" s="330"/>
      <c r="S186" s="328"/>
      <c r="T186" s="328"/>
      <c r="U186" s="574"/>
      <c r="V186" s="576"/>
      <c r="W186" s="578"/>
      <c r="X186" s="2">
        <v>45</v>
      </c>
    </row>
    <row r="187" spans="1:24" s="2" customFormat="1" x14ac:dyDescent="0.3">
      <c r="A187" s="463"/>
      <c r="B187" s="469"/>
      <c r="C187" s="469"/>
      <c r="D187" s="469"/>
      <c r="E187" s="469"/>
      <c r="F187" s="465"/>
      <c r="G187" s="587"/>
      <c r="H187" s="467"/>
      <c r="I187" s="475"/>
      <c r="J187" s="581"/>
      <c r="K187" s="584"/>
      <c r="L187" s="469"/>
      <c r="M187" s="469"/>
      <c r="N187" s="342">
        <v>45478</v>
      </c>
      <c r="O187" s="465"/>
      <c r="P187" s="335">
        <v>71616</v>
      </c>
      <c r="Q187" s="336">
        <v>45489</v>
      </c>
      <c r="R187" s="337"/>
      <c r="S187" s="335"/>
      <c r="T187" s="335"/>
      <c r="U187" s="467"/>
      <c r="V187" s="577"/>
      <c r="W187" s="473"/>
      <c r="X187" s="2">
        <v>45</v>
      </c>
    </row>
    <row r="188" spans="1:24" s="107" customFormat="1" ht="108" x14ac:dyDescent="0.3">
      <c r="A188" s="310">
        <v>29</v>
      </c>
      <c r="B188" s="311" t="s">
        <v>56</v>
      </c>
      <c r="C188" s="311" t="s">
        <v>146</v>
      </c>
      <c r="D188" s="311" t="s">
        <v>147</v>
      </c>
      <c r="E188" s="311" t="s">
        <v>333</v>
      </c>
      <c r="F188" s="320">
        <v>45489</v>
      </c>
      <c r="G188" s="314" t="s">
        <v>243</v>
      </c>
      <c r="H188" s="312">
        <v>18000</v>
      </c>
      <c r="I188" s="313">
        <f>IF(X188 = 46, H188 + SUM(S188:S188) - SUM(T188:T188) - SUM(P188:P188) - V188,0)</f>
        <v>0</v>
      </c>
      <c r="J188" s="321">
        <v>235002152355</v>
      </c>
      <c r="K188" s="322" t="s">
        <v>238</v>
      </c>
      <c r="L188" s="311" t="s">
        <v>146</v>
      </c>
      <c r="M188" s="311"/>
      <c r="N188" s="320">
        <v>45489</v>
      </c>
      <c r="O188" s="287" t="s">
        <v>194</v>
      </c>
      <c r="P188" s="312">
        <v>18000</v>
      </c>
      <c r="Q188" s="314">
        <v>45489</v>
      </c>
      <c r="R188" s="311"/>
      <c r="S188" s="312"/>
      <c r="T188" s="312"/>
      <c r="U188" s="312"/>
      <c r="V188" s="323"/>
      <c r="W188" s="317"/>
      <c r="X188" s="107">
        <v>46</v>
      </c>
    </row>
    <row r="189" spans="1:24" s="107" customFormat="1" ht="108" x14ac:dyDescent="0.3">
      <c r="A189" s="310">
        <v>30</v>
      </c>
      <c r="B189" s="311" t="s">
        <v>56</v>
      </c>
      <c r="C189" s="311" t="s">
        <v>146</v>
      </c>
      <c r="D189" s="311" t="s">
        <v>147</v>
      </c>
      <c r="E189" s="311" t="s">
        <v>334</v>
      </c>
      <c r="F189" s="320">
        <v>45489</v>
      </c>
      <c r="G189" s="314" t="s">
        <v>243</v>
      </c>
      <c r="H189" s="312">
        <v>85330</v>
      </c>
      <c r="I189" s="313">
        <f>IF(X189 = 47, H189 + SUM(S189:S189) - SUM(T189:T189) - SUM(P189:P189) - V189,0)</f>
        <v>0</v>
      </c>
      <c r="J189" s="321">
        <v>235002152355</v>
      </c>
      <c r="K189" s="322" t="s">
        <v>238</v>
      </c>
      <c r="L189" s="311" t="s">
        <v>146</v>
      </c>
      <c r="M189" s="311"/>
      <c r="N189" s="320">
        <v>45489</v>
      </c>
      <c r="O189" s="287" t="s">
        <v>194</v>
      </c>
      <c r="P189" s="312">
        <v>85330</v>
      </c>
      <c r="Q189" s="314">
        <v>45489</v>
      </c>
      <c r="R189" s="311"/>
      <c r="S189" s="312"/>
      <c r="T189" s="312"/>
      <c r="U189" s="312"/>
      <c r="V189" s="323"/>
      <c r="W189" s="317"/>
      <c r="X189" s="107">
        <v>47</v>
      </c>
    </row>
    <row r="190" spans="1:24" s="107" customFormat="1" ht="108" x14ac:dyDescent="0.3">
      <c r="A190" s="331">
        <v>31</v>
      </c>
      <c r="B190" s="332" t="s">
        <v>56</v>
      </c>
      <c r="C190" s="332" t="s">
        <v>146</v>
      </c>
      <c r="D190" s="332" t="s">
        <v>147</v>
      </c>
      <c r="E190" s="332" t="s">
        <v>346</v>
      </c>
      <c r="F190" s="362">
        <v>45511</v>
      </c>
      <c r="G190" s="343" t="s">
        <v>347</v>
      </c>
      <c r="H190" s="333">
        <v>12000</v>
      </c>
      <c r="I190" s="334">
        <f>IF(X190 = 48, H190 + SUM(S190:S190) - SUM(T190:T190) - SUM(P190:P190) - V190,0)</f>
        <v>0</v>
      </c>
      <c r="J190" s="344">
        <v>235301271520</v>
      </c>
      <c r="K190" s="345" t="s">
        <v>158</v>
      </c>
      <c r="L190" s="332" t="s">
        <v>146</v>
      </c>
      <c r="M190" s="332"/>
      <c r="N190" s="362">
        <v>45511</v>
      </c>
      <c r="O190" s="362" t="s">
        <v>194</v>
      </c>
      <c r="P190" s="333">
        <v>12000</v>
      </c>
      <c r="Q190" s="343">
        <v>45519</v>
      </c>
      <c r="R190" s="332"/>
      <c r="S190" s="333"/>
      <c r="T190" s="333"/>
      <c r="U190" s="333"/>
      <c r="V190" s="346"/>
      <c r="W190" s="339"/>
      <c r="X190" s="107">
        <v>48</v>
      </c>
    </row>
    <row r="191" spans="1:24" s="107" customFormat="1" ht="36" x14ac:dyDescent="0.3">
      <c r="A191" s="331">
        <v>32</v>
      </c>
      <c r="B191" s="332" t="s">
        <v>56</v>
      </c>
      <c r="C191" s="332" t="s">
        <v>146</v>
      </c>
      <c r="D191" s="332" t="s">
        <v>147</v>
      </c>
      <c r="E191" s="332" t="s">
        <v>348</v>
      </c>
      <c r="F191" s="362">
        <v>45520</v>
      </c>
      <c r="G191" s="343" t="s">
        <v>349</v>
      </c>
      <c r="H191" s="333">
        <v>15000</v>
      </c>
      <c r="I191" s="334">
        <f>IF(X191 = 49, H191 + SUM(S191:S191) - SUM(T191:T191) - SUM(P191:P191) - V191,0)</f>
        <v>15000</v>
      </c>
      <c r="J191" s="344">
        <v>231107998282</v>
      </c>
      <c r="K191" s="345" t="s">
        <v>199</v>
      </c>
      <c r="L191" s="332" t="s">
        <v>146</v>
      </c>
      <c r="M191" s="332"/>
      <c r="N191" s="362"/>
      <c r="O191" s="362"/>
      <c r="P191" s="333"/>
      <c r="Q191" s="343"/>
      <c r="R191" s="332"/>
      <c r="S191" s="333"/>
      <c r="T191" s="333"/>
      <c r="U191" s="333"/>
      <c r="V191" s="346"/>
      <c r="W191" s="339"/>
      <c r="X191" s="107">
        <v>49</v>
      </c>
    </row>
    <row r="192" spans="1:24" x14ac:dyDescent="0.3">
      <c r="B192" s="109"/>
      <c r="X192" s="8">
        <v>50</v>
      </c>
    </row>
    <row r="193" spans="2:5" x14ac:dyDescent="0.3">
      <c r="B193" s="109"/>
    </row>
    <row r="194" spans="2:5" x14ac:dyDescent="0.3">
      <c r="B194" s="109"/>
    </row>
    <row r="195" spans="2:5" x14ac:dyDescent="0.3">
      <c r="B195" s="109"/>
      <c r="E195" s="45"/>
    </row>
  </sheetData>
  <sheetProtection password="EB34" sheet="1" objects="1" scenarios="1" formatCells="0" formatColumns="0" formatRows="0"/>
  <mergeCells count="343">
    <mergeCell ref="O185:O187"/>
    <mergeCell ref="U185:U187"/>
    <mergeCell ref="V185:V187"/>
    <mergeCell ref="C185:C187"/>
    <mergeCell ref="W185:W187"/>
    <mergeCell ref="D185:D187"/>
    <mergeCell ref="E185:E187"/>
    <mergeCell ref="F185:F187"/>
    <mergeCell ref="G185:G187"/>
    <mergeCell ref="H185:H187"/>
    <mergeCell ref="I185:I187"/>
    <mergeCell ref="A185:A187"/>
    <mergeCell ref="B185:B187"/>
    <mergeCell ref="J185:J187"/>
    <mergeCell ref="K185:K187"/>
    <mergeCell ref="L185:L187"/>
    <mergeCell ref="M185:M187"/>
    <mergeCell ref="A53:A59"/>
    <mergeCell ref="B53:B59"/>
    <mergeCell ref="C53:C59"/>
    <mergeCell ref="D53:D59"/>
    <mergeCell ref="E53:E59"/>
    <mergeCell ref="F53:F59"/>
    <mergeCell ref="G53:G59"/>
    <mergeCell ref="H53:H59"/>
    <mergeCell ref="I53:I59"/>
    <mergeCell ref="A60:A61"/>
    <mergeCell ref="B60:B61"/>
    <mergeCell ref="M53:M59"/>
    <mergeCell ref="A62:A68"/>
    <mergeCell ref="B62:B68"/>
    <mergeCell ref="C62:C68"/>
    <mergeCell ref="D62:D68"/>
    <mergeCell ref="E62:E68"/>
    <mergeCell ref="F62:F68"/>
    <mergeCell ref="A41:A47"/>
    <mergeCell ref="O41:O47"/>
    <mergeCell ref="U41:U47"/>
    <mergeCell ref="B41:B47"/>
    <mergeCell ref="V41:V47"/>
    <mergeCell ref="W41:W47"/>
    <mergeCell ref="I41:I47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O60:O61"/>
    <mergeCell ref="U60:U61"/>
    <mergeCell ref="V60:V61"/>
    <mergeCell ref="C60:C61"/>
    <mergeCell ref="W60:W61"/>
    <mergeCell ref="D60:D61"/>
    <mergeCell ref="A118:A119"/>
    <mergeCell ref="O118:O119"/>
    <mergeCell ref="U118:U119"/>
    <mergeCell ref="B118:B119"/>
    <mergeCell ref="V118:V119"/>
    <mergeCell ref="C118:C119"/>
    <mergeCell ref="W118:W119"/>
    <mergeCell ref="D118:D119"/>
    <mergeCell ref="E118:E119"/>
    <mergeCell ref="F118:F119"/>
    <mergeCell ref="G118:G119"/>
    <mergeCell ref="H118:H119"/>
    <mergeCell ref="I118:I119"/>
    <mergeCell ref="J118:J119"/>
    <mergeCell ref="K118:K119"/>
    <mergeCell ref="L118:L119"/>
    <mergeCell ref="M118:M119"/>
    <mergeCell ref="C143:C146"/>
    <mergeCell ref="G143:G146"/>
    <mergeCell ref="H143:H146"/>
    <mergeCell ref="I143:I146"/>
    <mergeCell ref="O53:O59"/>
    <mergeCell ref="U53:U59"/>
    <mergeCell ref="V53:V59"/>
    <mergeCell ref="W53:W59"/>
    <mergeCell ref="J53:J59"/>
    <mergeCell ref="K53:K59"/>
    <mergeCell ref="L53:L59"/>
    <mergeCell ref="V139:V142"/>
    <mergeCell ref="C139:C142"/>
    <mergeCell ref="D139:D142"/>
    <mergeCell ref="E139:E142"/>
    <mergeCell ref="F139:F142"/>
    <mergeCell ref="I69:I93"/>
    <mergeCell ref="J69:J93"/>
    <mergeCell ref="K69:K93"/>
    <mergeCell ref="W69:W93"/>
    <mergeCell ref="W94:W99"/>
    <mergeCell ref="E94:E99"/>
    <mergeCell ref="F94:F99"/>
    <mergeCell ref="G94:G99"/>
    <mergeCell ref="W143:W146"/>
    <mergeCell ref="A147:A162"/>
    <mergeCell ref="O147:O162"/>
    <mergeCell ref="U147:U162"/>
    <mergeCell ref="B147:B162"/>
    <mergeCell ref="V147:V162"/>
    <mergeCell ref="C147:C162"/>
    <mergeCell ref="W147:W162"/>
    <mergeCell ref="D147:D162"/>
    <mergeCell ref="E147:E162"/>
    <mergeCell ref="F147:F162"/>
    <mergeCell ref="G147:G162"/>
    <mergeCell ref="H147:H162"/>
    <mergeCell ref="I147:I162"/>
    <mergeCell ref="J147:J162"/>
    <mergeCell ref="K147:K162"/>
    <mergeCell ref="L147:L162"/>
    <mergeCell ref="M147:M162"/>
    <mergeCell ref="D143:D146"/>
    <mergeCell ref="E143:E146"/>
    <mergeCell ref="F143:F146"/>
    <mergeCell ref="J143:J146"/>
    <mergeCell ref="K143:K146"/>
    <mergeCell ref="L143:L146"/>
    <mergeCell ref="W163:W181"/>
    <mergeCell ref="D163:D181"/>
    <mergeCell ref="E163:E181"/>
    <mergeCell ref="F163:F181"/>
    <mergeCell ref="G163:G181"/>
    <mergeCell ref="H163:H181"/>
    <mergeCell ref="I163:I181"/>
    <mergeCell ref="J163:J181"/>
    <mergeCell ref="K163:K181"/>
    <mergeCell ref="L163:L181"/>
    <mergeCell ref="M163:M181"/>
    <mergeCell ref="B100:B105"/>
    <mergeCell ref="V100:V105"/>
    <mergeCell ref="C100:C105"/>
    <mergeCell ref="A69:A93"/>
    <mergeCell ref="O69:O93"/>
    <mergeCell ref="U69:U93"/>
    <mergeCell ref="B69:B93"/>
    <mergeCell ref="V69:V93"/>
    <mergeCell ref="A163:A181"/>
    <mergeCell ref="O163:O181"/>
    <mergeCell ref="U163:U181"/>
    <mergeCell ref="B163:B181"/>
    <mergeCell ref="M143:M146"/>
    <mergeCell ref="A139:A142"/>
    <mergeCell ref="O139:O142"/>
    <mergeCell ref="U139:U142"/>
    <mergeCell ref="B139:B142"/>
    <mergeCell ref="V163:V181"/>
    <mergeCell ref="C163:C181"/>
    <mergeCell ref="A143:A146"/>
    <mergeCell ref="O143:O146"/>
    <mergeCell ref="U143:U146"/>
    <mergeCell ref="B143:B146"/>
    <mergeCell ref="V143:V146"/>
    <mergeCell ref="W11:W18"/>
    <mergeCell ref="W139:W142"/>
    <mergeCell ref="G139:G142"/>
    <mergeCell ref="H139:H142"/>
    <mergeCell ref="I139:I142"/>
    <mergeCell ref="J139:J142"/>
    <mergeCell ref="K139:K142"/>
    <mergeCell ref="L139:L142"/>
    <mergeCell ref="M139:M142"/>
    <mergeCell ref="H94:H99"/>
    <mergeCell ref="I94:I99"/>
    <mergeCell ref="J94:J99"/>
    <mergeCell ref="K94:K99"/>
    <mergeCell ref="O62:O68"/>
    <mergeCell ref="U62:U68"/>
    <mergeCell ref="V62:V68"/>
    <mergeCell ref="W62:W68"/>
    <mergeCell ref="G62:G68"/>
    <mergeCell ref="H62:H68"/>
    <mergeCell ref="I62:I68"/>
    <mergeCell ref="J62:J68"/>
    <mergeCell ref="K62:K68"/>
    <mergeCell ref="L62:L68"/>
    <mergeCell ref="M62:M68"/>
    <mergeCell ref="E106:E111"/>
    <mergeCell ref="F106:F111"/>
    <mergeCell ref="G106:G111"/>
    <mergeCell ref="D94:D99"/>
    <mergeCell ref="C69:C93"/>
    <mergeCell ref="D69:D93"/>
    <mergeCell ref="E69:E93"/>
    <mergeCell ref="F69:F93"/>
    <mergeCell ref="G69:G93"/>
    <mergeCell ref="D100:D105"/>
    <mergeCell ref="E100:E105"/>
    <mergeCell ref="F100:F105"/>
    <mergeCell ref="G100:G105"/>
    <mergeCell ref="B94:B99"/>
    <mergeCell ref="V94:V99"/>
    <mergeCell ref="A106:A111"/>
    <mergeCell ref="O106:O111"/>
    <mergeCell ref="U106:U111"/>
    <mergeCell ref="B106:B111"/>
    <mergeCell ref="V106:V111"/>
    <mergeCell ref="C106:C111"/>
    <mergeCell ref="A100:A105"/>
    <mergeCell ref="O100:O105"/>
    <mergeCell ref="A94:A99"/>
    <mergeCell ref="L106:L111"/>
    <mergeCell ref="H100:H105"/>
    <mergeCell ref="I100:I105"/>
    <mergeCell ref="J100:J105"/>
    <mergeCell ref="K100:K105"/>
    <mergeCell ref="L100:L105"/>
    <mergeCell ref="M100:M105"/>
    <mergeCell ref="C94:C99"/>
    <mergeCell ref="D106:D111"/>
    <mergeCell ref="W106:W111"/>
    <mergeCell ref="M106:M111"/>
    <mergeCell ref="H106:H111"/>
    <mergeCell ref="I106:I111"/>
    <mergeCell ref="J106:J111"/>
    <mergeCell ref="K106:K111"/>
    <mergeCell ref="U100:U105"/>
    <mergeCell ref="I9:I10"/>
    <mergeCell ref="J9:J10"/>
    <mergeCell ref="K9:K10"/>
    <mergeCell ref="L9:L10"/>
    <mergeCell ref="M9:M10"/>
    <mergeCell ref="V9:V10"/>
    <mergeCell ref="V48:V52"/>
    <mergeCell ref="W48:W52"/>
    <mergeCell ref="W9:W10"/>
    <mergeCell ref="L94:L99"/>
    <mergeCell ref="M94:M99"/>
    <mergeCell ref="O94:O99"/>
    <mergeCell ref="U94:U99"/>
    <mergeCell ref="L69:L93"/>
    <mergeCell ref="M69:M93"/>
    <mergeCell ref="W100:W105"/>
    <mergeCell ref="H69:H93"/>
    <mergeCell ref="A48:A52"/>
    <mergeCell ref="O48:O52"/>
    <mergeCell ref="C9:C10"/>
    <mergeCell ref="S2:U2"/>
    <mergeCell ref="F2:G2"/>
    <mergeCell ref="N2:O2"/>
    <mergeCell ref="U48:U52"/>
    <mergeCell ref="B48:B52"/>
    <mergeCell ref="C48:C52"/>
    <mergeCell ref="D48:D52"/>
    <mergeCell ref="E48:E52"/>
    <mergeCell ref="F48:F52"/>
    <mergeCell ref="G48:G52"/>
    <mergeCell ref="H48:H52"/>
    <mergeCell ref="I48:I52"/>
    <mergeCell ref="J48:J52"/>
    <mergeCell ref="K48:K52"/>
    <mergeCell ref="L48:L52"/>
    <mergeCell ref="M48:M52"/>
    <mergeCell ref="C41:C47"/>
    <mergeCell ref="D41:D47"/>
    <mergeCell ref="E41:E47"/>
    <mergeCell ref="F41:F47"/>
    <mergeCell ref="G41:G47"/>
    <mergeCell ref="D9:D10"/>
    <mergeCell ref="E9:E10"/>
    <mergeCell ref="F9:F10"/>
    <mergeCell ref="G9:G10"/>
    <mergeCell ref="H9:H10"/>
    <mergeCell ref="A9:A10"/>
    <mergeCell ref="O9:O10"/>
    <mergeCell ref="U9:U10"/>
    <mergeCell ref="B9:B10"/>
    <mergeCell ref="W19:W40"/>
    <mergeCell ref="D19:D40"/>
    <mergeCell ref="E19:E40"/>
    <mergeCell ref="F19:F40"/>
    <mergeCell ref="G19:G40"/>
    <mergeCell ref="H19:H40"/>
    <mergeCell ref="I19:I40"/>
    <mergeCell ref="J19:J40"/>
    <mergeCell ref="K19:K40"/>
    <mergeCell ref="L19:L40"/>
    <mergeCell ref="M19:M40"/>
    <mergeCell ref="O19:O40"/>
    <mergeCell ref="U19:U40"/>
    <mergeCell ref="V19:V40"/>
    <mergeCell ref="A113:A117"/>
    <mergeCell ref="O113:O117"/>
    <mergeCell ref="U113:U117"/>
    <mergeCell ref="B113:B117"/>
    <mergeCell ref="V113:V117"/>
    <mergeCell ref="C113:C117"/>
    <mergeCell ref="W113:W117"/>
    <mergeCell ref="D113:D117"/>
    <mergeCell ref="E113:E117"/>
    <mergeCell ref="F113:F117"/>
    <mergeCell ref="G113:G117"/>
    <mergeCell ref="H113:H117"/>
    <mergeCell ref="I113:I117"/>
    <mergeCell ref="J113:J117"/>
    <mergeCell ref="K113:K117"/>
    <mergeCell ref="L113:L117"/>
    <mergeCell ref="M113:M117"/>
    <mergeCell ref="A120:A134"/>
    <mergeCell ref="O120:O134"/>
    <mergeCell ref="U120:U134"/>
    <mergeCell ref="B120:B134"/>
    <mergeCell ref="V120:V134"/>
    <mergeCell ref="C120:C134"/>
    <mergeCell ref="W120:W134"/>
    <mergeCell ref="D120:D134"/>
    <mergeCell ref="E120:E134"/>
    <mergeCell ref="F120:F134"/>
    <mergeCell ref="G120:G134"/>
    <mergeCell ref="H120:H134"/>
    <mergeCell ref="I120:I134"/>
    <mergeCell ref="J120:J134"/>
    <mergeCell ref="K120:K134"/>
    <mergeCell ref="L120:L134"/>
    <mergeCell ref="M120:M134"/>
    <mergeCell ref="J41:J47"/>
    <mergeCell ref="K41:K47"/>
    <mergeCell ref="L41:L47"/>
    <mergeCell ref="M41:M47"/>
    <mergeCell ref="A11:A18"/>
    <mergeCell ref="O11:O18"/>
    <mergeCell ref="U11:U18"/>
    <mergeCell ref="B11:B18"/>
    <mergeCell ref="V11:V18"/>
    <mergeCell ref="C11:C18"/>
    <mergeCell ref="D11:D18"/>
    <mergeCell ref="E11:E18"/>
    <mergeCell ref="F11:F18"/>
    <mergeCell ref="G11:G18"/>
    <mergeCell ref="H11:H18"/>
    <mergeCell ref="I11:I18"/>
    <mergeCell ref="J11:J18"/>
    <mergeCell ref="K11:K18"/>
    <mergeCell ref="L11:L18"/>
    <mergeCell ref="M11:M18"/>
    <mergeCell ref="A19:A40"/>
    <mergeCell ref="B19:B40"/>
    <mergeCell ref="C19:C40"/>
    <mergeCell ref="H41:H4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5"/>
  <sheetViews>
    <sheetView showGridLines="0" zoomScale="70" zoomScaleNormal="70" workbookViewId="0">
      <pane ySplit="8" topLeftCell="A9" activePane="bottomLeft" state="frozen"/>
      <selection pane="bottomLeft" activeCell="F9" sqref="F9:F12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2" customWidth="1"/>
    <col min="7" max="7" width="27.44140625" style="3" customWidth="1"/>
    <col min="8" max="8" width="33" style="3" customWidth="1"/>
    <col min="9" max="10" width="27.33203125" style="11" customWidth="1"/>
    <col min="11" max="11" width="26.5546875" style="3" customWidth="1"/>
    <col min="12" max="12" width="38.44140625" style="12" customWidth="1"/>
    <col min="13" max="13" width="37.5546875" style="3" customWidth="1"/>
    <col min="14" max="14" width="24.6640625" style="11" customWidth="1"/>
    <col min="15" max="15" width="24.44140625" style="12" customWidth="1"/>
    <col min="16" max="16" width="24.33203125" style="12" customWidth="1"/>
    <col min="17" max="17" width="27.44140625" style="12" customWidth="1"/>
    <col min="18" max="18" width="27.109375" style="12" customWidth="1"/>
    <col min="19" max="19" width="23.44140625" style="12" customWidth="1"/>
    <col min="20" max="20" width="22.88671875" style="11" customWidth="1"/>
    <col min="21" max="21" width="21.88671875" style="8" customWidth="1"/>
    <col min="22" max="16384" width="9.109375" style="8" hidden="1"/>
  </cols>
  <sheetData>
    <row r="1" spans="1:22" ht="18.600000000000001" thickBot="1" x14ac:dyDescent="0.35"/>
    <row r="2" spans="1:22" ht="39.9" customHeight="1" thickBot="1" x14ac:dyDescent="0.35">
      <c r="B2" s="86"/>
      <c r="C2" s="86"/>
      <c r="D2" s="86"/>
      <c r="E2" s="503" t="s">
        <v>24</v>
      </c>
      <c r="F2" s="504"/>
      <c r="G2" s="98">
        <f>SUM(G9:G9999)</f>
        <v>2306536.8499999996</v>
      </c>
      <c r="L2" s="597" t="s">
        <v>137</v>
      </c>
      <c r="M2" s="598"/>
      <c r="N2" s="87">
        <f>SUM(N9:N9999)</f>
        <v>1740634.91</v>
      </c>
      <c r="P2" s="86"/>
      <c r="Q2" s="437" t="s">
        <v>45</v>
      </c>
      <c r="R2" s="438"/>
      <c r="S2" s="439"/>
      <c r="T2" s="88">
        <f>SUM(T9:T9999)</f>
        <v>0</v>
      </c>
    </row>
    <row r="3" spans="1:22" x14ac:dyDescent="0.3">
      <c r="E3" s="38"/>
      <c r="F3" s="38"/>
      <c r="G3" s="38"/>
      <c r="H3" s="38"/>
      <c r="I3" s="43"/>
      <c r="J3" s="44"/>
      <c r="K3" s="41"/>
      <c r="L3" s="38"/>
      <c r="M3" s="38"/>
      <c r="N3" s="43"/>
      <c r="O3" s="42"/>
      <c r="P3" s="38"/>
      <c r="Q3" s="38"/>
      <c r="R3" s="38"/>
      <c r="S3" s="38"/>
      <c r="T3" s="43"/>
    </row>
    <row r="4" spans="1:22" ht="39.9" customHeight="1" x14ac:dyDescent="0.3">
      <c r="E4" s="38"/>
      <c r="F4" s="38"/>
      <c r="G4" s="38"/>
      <c r="H4" s="38"/>
      <c r="I4" s="43"/>
      <c r="J4" s="44"/>
      <c r="K4" s="41"/>
      <c r="L4" s="38"/>
      <c r="M4" s="38"/>
      <c r="N4" s="43"/>
      <c r="O4" s="42"/>
      <c r="P4" s="38"/>
      <c r="Q4" s="38"/>
      <c r="R4" s="38"/>
      <c r="S4" s="38"/>
      <c r="T4" s="43"/>
    </row>
    <row r="6" spans="1:22" ht="144" x14ac:dyDescent="0.3">
      <c r="A6" s="28" t="s">
        <v>8</v>
      </c>
      <c r="B6" s="28" t="s">
        <v>21</v>
      </c>
      <c r="C6" s="28" t="s">
        <v>10</v>
      </c>
      <c r="D6" s="28" t="s">
        <v>15</v>
      </c>
      <c r="E6" s="28" t="s">
        <v>0</v>
      </c>
      <c r="F6" s="27" t="s">
        <v>3</v>
      </c>
      <c r="G6" s="28" t="s">
        <v>38</v>
      </c>
      <c r="H6" s="28" t="s">
        <v>22</v>
      </c>
      <c r="I6" s="89" t="s">
        <v>46</v>
      </c>
      <c r="J6" s="89" t="s">
        <v>5</v>
      </c>
      <c r="K6" s="28" t="s">
        <v>39</v>
      </c>
      <c r="L6" s="27" t="s">
        <v>37</v>
      </c>
      <c r="M6" s="28" t="s">
        <v>6</v>
      </c>
      <c r="N6" s="89" t="s">
        <v>23</v>
      </c>
      <c r="O6" s="27" t="s">
        <v>9</v>
      </c>
      <c r="P6" s="27" t="s">
        <v>40</v>
      </c>
      <c r="Q6" s="27" t="s">
        <v>103</v>
      </c>
      <c r="R6" s="27" t="s">
        <v>104</v>
      </c>
      <c r="S6" s="27" t="s">
        <v>41</v>
      </c>
      <c r="T6" s="89" t="s">
        <v>43</v>
      </c>
      <c r="U6" s="17" t="s">
        <v>42</v>
      </c>
    </row>
    <row r="7" spans="1:22" ht="16.8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</row>
    <row r="8" spans="1:22" s="18" customFormat="1" ht="108" hidden="1" x14ac:dyDescent="0.3">
      <c r="A8" s="90" t="s">
        <v>36</v>
      </c>
      <c r="B8" s="90" t="s">
        <v>67</v>
      </c>
      <c r="C8" s="90" t="s">
        <v>66</v>
      </c>
      <c r="D8" s="90" t="s">
        <v>48</v>
      </c>
      <c r="E8" s="95">
        <v>43823</v>
      </c>
      <c r="F8" s="91" t="s">
        <v>65</v>
      </c>
      <c r="G8" s="92">
        <v>100000</v>
      </c>
      <c r="H8" s="92">
        <v>90000</v>
      </c>
      <c r="I8" s="96">
        <v>2308091759</v>
      </c>
      <c r="J8" s="90" t="s">
        <v>68</v>
      </c>
      <c r="K8" s="90" t="s">
        <v>69</v>
      </c>
      <c r="L8" s="91">
        <v>43801</v>
      </c>
      <c r="M8" s="90" t="s">
        <v>70</v>
      </c>
      <c r="N8" s="92">
        <v>10000</v>
      </c>
      <c r="O8" s="91">
        <v>43489</v>
      </c>
      <c r="P8" s="91"/>
      <c r="Q8" s="91"/>
      <c r="R8" s="91"/>
      <c r="S8" s="91"/>
      <c r="T8" s="92"/>
      <c r="U8" s="93" t="s">
        <v>64</v>
      </c>
    </row>
    <row r="9" spans="1:22" s="107" customFormat="1" ht="37.5" customHeight="1" x14ac:dyDescent="0.3">
      <c r="A9" s="591">
        <v>1</v>
      </c>
      <c r="B9" s="594"/>
      <c r="C9" s="594" t="s">
        <v>171</v>
      </c>
      <c r="D9" s="594" t="s">
        <v>152</v>
      </c>
      <c r="E9" s="605">
        <v>45289</v>
      </c>
      <c r="F9" s="599" t="s">
        <v>153</v>
      </c>
      <c r="G9" s="608">
        <v>1201103.3999999999</v>
      </c>
      <c r="H9" s="611">
        <f>IF(V9 = 1, G9 + SUM(Q9:Q12) - SUM(R9:R12) - SUM(N9:N12) - T9,0)</f>
        <v>565901.93999999994</v>
      </c>
      <c r="I9" s="614">
        <v>2312054894</v>
      </c>
      <c r="J9" s="594" t="s">
        <v>154</v>
      </c>
      <c r="K9" s="594" t="s">
        <v>155</v>
      </c>
      <c r="L9" s="275">
        <v>45322</v>
      </c>
      <c r="M9" s="594" t="s">
        <v>151</v>
      </c>
      <c r="N9" s="269">
        <v>204433.07</v>
      </c>
      <c r="O9" s="275">
        <v>45337</v>
      </c>
      <c r="P9" s="270"/>
      <c r="Q9" s="269"/>
      <c r="R9" s="269"/>
      <c r="S9" s="599"/>
      <c r="T9" s="608"/>
      <c r="U9" s="602"/>
      <c r="V9" s="107">
        <v>1</v>
      </c>
    </row>
    <row r="10" spans="1:22" s="2" customFormat="1" x14ac:dyDescent="0.3">
      <c r="A10" s="592"/>
      <c r="B10" s="595"/>
      <c r="C10" s="595"/>
      <c r="D10" s="595"/>
      <c r="E10" s="606"/>
      <c r="F10" s="600"/>
      <c r="G10" s="609"/>
      <c r="H10" s="612"/>
      <c r="I10" s="615"/>
      <c r="J10" s="595"/>
      <c r="K10" s="595"/>
      <c r="L10" s="276">
        <v>45351</v>
      </c>
      <c r="M10" s="595"/>
      <c r="N10" s="271">
        <v>219406.46</v>
      </c>
      <c r="O10" s="276">
        <v>45376</v>
      </c>
      <c r="P10" s="272"/>
      <c r="Q10" s="271"/>
      <c r="R10" s="271"/>
      <c r="S10" s="600"/>
      <c r="T10" s="609"/>
      <c r="U10" s="603"/>
      <c r="V10" s="2">
        <v>1</v>
      </c>
    </row>
    <row r="11" spans="1:22" s="2" customFormat="1" x14ac:dyDescent="0.3">
      <c r="A11" s="592"/>
      <c r="B11" s="595"/>
      <c r="C11" s="595"/>
      <c r="D11" s="595"/>
      <c r="E11" s="606"/>
      <c r="F11" s="600"/>
      <c r="G11" s="609"/>
      <c r="H11" s="612"/>
      <c r="I11" s="615"/>
      <c r="J11" s="595"/>
      <c r="K11" s="595"/>
      <c r="L11" s="276">
        <v>45382</v>
      </c>
      <c r="M11" s="595"/>
      <c r="N11" s="271">
        <v>170117.08</v>
      </c>
      <c r="O11" s="276">
        <v>45406</v>
      </c>
      <c r="P11" s="272"/>
      <c r="Q11" s="271"/>
      <c r="R11" s="271"/>
      <c r="S11" s="600"/>
      <c r="T11" s="609"/>
      <c r="U11" s="603"/>
      <c r="V11" s="2">
        <v>1</v>
      </c>
    </row>
    <row r="12" spans="1:22" s="2" customFormat="1" x14ac:dyDescent="0.3">
      <c r="A12" s="593"/>
      <c r="B12" s="596"/>
      <c r="C12" s="596"/>
      <c r="D12" s="596"/>
      <c r="E12" s="607"/>
      <c r="F12" s="601"/>
      <c r="G12" s="610"/>
      <c r="H12" s="613"/>
      <c r="I12" s="616"/>
      <c r="J12" s="596"/>
      <c r="K12" s="596"/>
      <c r="L12" s="277">
        <v>45412</v>
      </c>
      <c r="M12" s="596"/>
      <c r="N12" s="273">
        <v>41244.85</v>
      </c>
      <c r="O12" s="277">
        <v>45436</v>
      </c>
      <c r="P12" s="274"/>
      <c r="Q12" s="273"/>
      <c r="R12" s="273"/>
      <c r="S12" s="601"/>
      <c r="T12" s="610"/>
      <c r="U12" s="604"/>
      <c r="V12" s="2">
        <v>1</v>
      </c>
    </row>
    <row r="13" spans="1:22" s="107" customFormat="1" ht="108" customHeight="1" x14ac:dyDescent="0.3">
      <c r="A13" s="617">
        <v>2</v>
      </c>
      <c r="B13" s="619"/>
      <c r="C13" s="619" t="s">
        <v>147</v>
      </c>
      <c r="D13" s="619" t="s">
        <v>239</v>
      </c>
      <c r="E13" s="627">
        <v>45366</v>
      </c>
      <c r="F13" s="621" t="s">
        <v>240</v>
      </c>
      <c r="G13" s="623">
        <v>1105433.45</v>
      </c>
      <c r="H13" s="629">
        <f>IF(V13 = 2, G13 + SUM(Q13:Q14) - SUM(R13:R14) - SUM(N13:N14) - T13,0)</f>
        <v>0</v>
      </c>
      <c r="I13" s="631">
        <v>7715995942</v>
      </c>
      <c r="J13" s="619" t="s">
        <v>241</v>
      </c>
      <c r="K13" s="619" t="s">
        <v>242</v>
      </c>
      <c r="L13" s="306">
        <v>45397</v>
      </c>
      <c r="M13" s="619" t="s">
        <v>194</v>
      </c>
      <c r="N13" s="302">
        <v>1032715.2</v>
      </c>
      <c r="O13" s="306">
        <v>45429</v>
      </c>
      <c r="P13" s="303"/>
      <c r="Q13" s="302"/>
      <c r="R13" s="302"/>
      <c r="S13" s="621"/>
      <c r="T13" s="623"/>
      <c r="U13" s="625"/>
      <c r="V13" s="107">
        <v>2</v>
      </c>
    </row>
    <row r="14" spans="1:22" s="2" customFormat="1" x14ac:dyDescent="0.3">
      <c r="A14" s="618"/>
      <c r="B14" s="620"/>
      <c r="C14" s="620"/>
      <c r="D14" s="620"/>
      <c r="E14" s="628"/>
      <c r="F14" s="622"/>
      <c r="G14" s="624"/>
      <c r="H14" s="630"/>
      <c r="I14" s="632"/>
      <c r="J14" s="620"/>
      <c r="K14" s="620"/>
      <c r="L14" s="307">
        <v>45444</v>
      </c>
      <c r="M14" s="620"/>
      <c r="N14" s="304">
        <v>72718.25</v>
      </c>
      <c r="O14" s="307">
        <v>45467</v>
      </c>
      <c r="P14" s="305"/>
      <c r="Q14" s="304"/>
      <c r="R14" s="304"/>
      <c r="S14" s="622"/>
      <c r="T14" s="624"/>
      <c r="U14" s="626"/>
      <c r="V14" s="2">
        <v>2</v>
      </c>
    </row>
    <row r="15" spans="1:22" x14ac:dyDescent="0.3">
      <c r="V15" s="8">
        <v>3</v>
      </c>
    </row>
  </sheetData>
  <sheetProtection algorithmName="SHA-512" hashValue="/PRljuuOyjlWkPlfRXF/Ik1RiD//CGLOrE92UOGDqJnIXOFH11ajz9siKrdT0olEAm6ianBSOk5/vvKiNm2QMA==" saltValue="vHWPLSR9Lw40T7T3IBSArA==" spinCount="100000" sheet="1" objects="1" scenarios="1" formatCells="0" formatColumns="0" formatRows="0"/>
  <mergeCells count="33">
    <mergeCell ref="U13:U14"/>
    <mergeCell ref="D13:D14"/>
    <mergeCell ref="E13:E14"/>
    <mergeCell ref="F13:F14"/>
    <mergeCell ref="G13:G14"/>
    <mergeCell ref="H13:H14"/>
    <mergeCell ref="I13:I14"/>
    <mergeCell ref="J13:J14"/>
    <mergeCell ref="K13:K14"/>
    <mergeCell ref="A13:A14"/>
    <mergeCell ref="M13:M14"/>
    <mergeCell ref="S13:S14"/>
    <mergeCell ref="B13:B14"/>
    <mergeCell ref="T13:T14"/>
    <mergeCell ref="C13:C14"/>
    <mergeCell ref="U9:U12"/>
    <mergeCell ref="D9:D12"/>
    <mergeCell ref="E9:E12"/>
    <mergeCell ref="F9:F12"/>
    <mergeCell ref="G9:G12"/>
    <mergeCell ref="H9:H12"/>
    <mergeCell ref="I9:I12"/>
    <mergeCell ref="J9:J12"/>
    <mergeCell ref="K9:K12"/>
    <mergeCell ref="T9:T12"/>
    <mergeCell ref="A9:A12"/>
    <mergeCell ref="B9:B12"/>
    <mergeCell ref="C9:C12"/>
    <mergeCell ref="Q2:S2"/>
    <mergeCell ref="E2:F2"/>
    <mergeCell ref="L2:M2"/>
    <mergeCell ref="M9:M12"/>
    <mergeCell ref="S9:S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8"/>
  <sheetViews>
    <sheetView showGridLines="0" topLeftCell="N1" zoomScale="70" zoomScaleNormal="70" workbookViewId="0">
      <pane ySplit="8" topLeftCell="A13" activePane="bottomLeft" state="frozen"/>
      <selection pane="bottomLeft" activeCell="X16" sqref="X16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1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8" width="21.88671875" style="11" customWidth="1"/>
    <col min="19" max="19" width="23.5546875" style="3" customWidth="1"/>
    <col min="20" max="20" width="31.33203125" style="12" customWidth="1"/>
    <col min="21" max="21" width="27.6640625" style="12" customWidth="1"/>
    <col min="22" max="22" width="25.44140625" style="11" customWidth="1"/>
    <col min="23" max="23" width="25" style="12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2" customWidth="1"/>
    <col min="28" max="28" width="19.109375" style="11" customWidth="1"/>
    <col min="29" max="29" width="23.109375" style="3" customWidth="1"/>
    <col min="30" max="30" width="9.109375" style="8" hidden="1" customWidth="1"/>
    <col min="31" max="31" width="8.5546875" style="8" hidden="1" customWidth="1"/>
    <col min="32" max="38" width="0" style="8" hidden="1" customWidth="1"/>
    <col min="39" max="16384" width="9.109375" style="8" hidden="1"/>
  </cols>
  <sheetData>
    <row r="1" spans="1:33" ht="18.600000000000001" thickBot="1" x14ac:dyDescent="0.35"/>
    <row r="2" spans="1:33" ht="39.9" customHeight="1" thickBot="1" x14ac:dyDescent="0.35">
      <c r="E2" s="503" t="s">
        <v>139</v>
      </c>
      <c r="F2" s="504"/>
      <c r="G2" s="100">
        <f>SUM(G9:G10000)</f>
        <v>2199589.56</v>
      </c>
      <c r="H2" s="15"/>
      <c r="O2" s="503" t="s">
        <v>24</v>
      </c>
      <c r="P2" s="504"/>
      <c r="Q2" s="98">
        <f>SUM(Q9:Q10000)</f>
        <v>1722277.84</v>
      </c>
      <c r="T2" s="437" t="s">
        <v>137</v>
      </c>
      <c r="U2" s="439"/>
      <c r="V2" s="87">
        <f>SUM(V9:V10000)</f>
        <v>477118.83999999997</v>
      </c>
      <c r="X2" s="86"/>
      <c r="Y2" s="437" t="s">
        <v>45</v>
      </c>
      <c r="Z2" s="438"/>
      <c r="AA2" s="439"/>
      <c r="AB2" s="88">
        <f>SUM(AB9:AB10000)</f>
        <v>0</v>
      </c>
    </row>
    <row r="3" spans="1:33" x14ac:dyDescent="0.3">
      <c r="F3" s="45"/>
      <c r="G3" s="43"/>
      <c r="H3" s="43"/>
      <c r="I3" s="46"/>
      <c r="J3" s="46"/>
      <c r="K3" s="41"/>
      <c r="L3" s="41"/>
      <c r="M3" s="41"/>
      <c r="N3" s="42"/>
      <c r="O3" s="41"/>
      <c r="P3" s="45"/>
      <c r="Q3" s="43"/>
      <c r="R3" s="44"/>
      <c r="S3" s="41"/>
      <c r="T3" s="38"/>
      <c r="U3" s="38"/>
      <c r="V3" s="43"/>
      <c r="W3" s="42"/>
      <c r="X3" s="38"/>
      <c r="Y3" s="38"/>
      <c r="Z3" s="38"/>
      <c r="AA3" s="38"/>
      <c r="AB3" s="43"/>
    </row>
    <row r="4" spans="1:33" ht="39.9" customHeight="1" x14ac:dyDescent="0.3">
      <c r="F4" s="45"/>
      <c r="G4" s="43"/>
      <c r="H4" s="43"/>
      <c r="I4" s="46"/>
      <c r="J4" s="46"/>
      <c r="K4" s="41"/>
      <c r="L4" s="41"/>
      <c r="M4" s="41"/>
      <c r="N4" s="42"/>
      <c r="O4" s="41"/>
      <c r="P4" s="45"/>
      <c r="Q4" s="43"/>
      <c r="R4" s="44"/>
      <c r="S4" s="41"/>
      <c r="T4" s="38"/>
      <c r="U4" s="38"/>
      <c r="V4" s="43"/>
      <c r="W4" s="42"/>
      <c r="X4" s="38"/>
      <c r="Y4" s="38"/>
      <c r="Z4" s="38"/>
      <c r="AA4" s="38"/>
      <c r="AB4" s="43"/>
    </row>
    <row r="6" spans="1:33" ht="126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3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18</v>
      </c>
      <c r="R6" s="31" t="s">
        <v>22</v>
      </c>
      <c r="S6" s="23" t="s">
        <v>19</v>
      </c>
      <c r="T6" s="30" t="s">
        <v>37</v>
      </c>
      <c r="U6" s="30" t="s">
        <v>20</v>
      </c>
      <c r="V6" s="31" t="s">
        <v>23</v>
      </c>
      <c r="W6" s="30" t="s">
        <v>9</v>
      </c>
      <c r="X6" s="28" t="s">
        <v>40</v>
      </c>
      <c r="Y6" s="28" t="s">
        <v>103</v>
      </c>
      <c r="Z6" s="28" t="s">
        <v>104</v>
      </c>
      <c r="AA6" s="27" t="s">
        <v>41</v>
      </c>
      <c r="AB6" s="31" t="s">
        <v>43</v>
      </c>
      <c r="AC6" s="23" t="s">
        <v>42</v>
      </c>
      <c r="AD6" s="16"/>
      <c r="AE6" s="16"/>
      <c r="AF6" s="16"/>
      <c r="AG6" s="16"/>
    </row>
    <row r="7" spans="1:33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hidden="1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6" t="s">
        <v>79</v>
      </c>
      <c r="P8" s="144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5" t="s">
        <v>81</v>
      </c>
      <c r="V8" s="24">
        <v>8775.01</v>
      </c>
      <c r="W8" s="25">
        <v>43696</v>
      </c>
      <c r="X8" s="26"/>
      <c r="Y8" s="72"/>
      <c r="Z8" s="72"/>
      <c r="AA8" s="25"/>
      <c r="AB8" s="24"/>
      <c r="AC8" s="26" t="s">
        <v>64</v>
      </c>
    </row>
    <row r="9" spans="1:33" s="107" customFormat="1" ht="144" customHeight="1" x14ac:dyDescent="0.3">
      <c r="A9" s="462">
        <v>1</v>
      </c>
      <c r="B9" s="468" t="s">
        <v>56</v>
      </c>
      <c r="C9" s="468" t="s">
        <v>188</v>
      </c>
      <c r="D9" s="468" t="s">
        <v>147</v>
      </c>
      <c r="E9" s="468" t="s">
        <v>189</v>
      </c>
      <c r="F9" s="468" t="s">
        <v>190</v>
      </c>
      <c r="G9" s="466">
        <v>740465.76</v>
      </c>
      <c r="H9" s="474">
        <f>IF(AD9 = 1, G9 - Q9,0)</f>
        <v>348018.92</v>
      </c>
      <c r="I9" s="466">
        <v>5</v>
      </c>
      <c r="J9" s="466"/>
      <c r="K9" s="468" t="s">
        <v>163</v>
      </c>
      <c r="L9" s="468" t="s">
        <v>191</v>
      </c>
      <c r="M9" s="468" t="s">
        <v>189</v>
      </c>
      <c r="N9" s="464">
        <v>45286</v>
      </c>
      <c r="O9" s="637">
        <v>2304067057</v>
      </c>
      <c r="P9" s="640" t="s">
        <v>192</v>
      </c>
      <c r="Q9" s="466">
        <v>392446.84</v>
      </c>
      <c r="R9" s="474">
        <f>IF(AD9 = 1, Q9 + SUM(Y9:Y14) - SUM(Z9:Z14) - SUM(V9:V14) - AB9,0)</f>
        <v>5.8207660913467407E-11</v>
      </c>
      <c r="S9" s="468"/>
      <c r="T9" s="340">
        <v>45322</v>
      </c>
      <c r="U9" s="586" t="s">
        <v>165</v>
      </c>
      <c r="V9" s="325">
        <v>68347.48</v>
      </c>
      <c r="W9" s="340">
        <v>45324</v>
      </c>
      <c r="X9" s="327"/>
      <c r="Y9" s="325"/>
      <c r="Z9" s="325"/>
      <c r="AA9" s="586"/>
      <c r="AB9" s="466"/>
      <c r="AC9" s="468"/>
      <c r="AD9" s="107">
        <v>1</v>
      </c>
    </row>
    <row r="10" spans="1:33" s="2" customFormat="1" x14ac:dyDescent="0.3">
      <c r="A10" s="588"/>
      <c r="B10" s="585"/>
      <c r="C10" s="585"/>
      <c r="D10" s="585"/>
      <c r="E10" s="585"/>
      <c r="F10" s="585"/>
      <c r="G10" s="574"/>
      <c r="H10" s="590"/>
      <c r="I10" s="574"/>
      <c r="J10" s="574"/>
      <c r="K10" s="585"/>
      <c r="L10" s="585"/>
      <c r="M10" s="585"/>
      <c r="N10" s="573"/>
      <c r="O10" s="638"/>
      <c r="P10" s="641"/>
      <c r="Q10" s="574"/>
      <c r="R10" s="590"/>
      <c r="S10" s="585"/>
      <c r="T10" s="341">
        <v>45351</v>
      </c>
      <c r="U10" s="589"/>
      <c r="V10" s="328">
        <v>63937.97</v>
      </c>
      <c r="W10" s="341">
        <v>45357</v>
      </c>
      <c r="X10" s="330"/>
      <c r="Y10" s="328"/>
      <c r="Z10" s="328"/>
      <c r="AA10" s="589"/>
      <c r="AB10" s="574"/>
      <c r="AC10" s="585"/>
      <c r="AD10" s="2">
        <v>1</v>
      </c>
    </row>
    <row r="11" spans="1:33" s="2" customFormat="1" x14ac:dyDescent="0.3">
      <c r="A11" s="588"/>
      <c r="B11" s="585"/>
      <c r="C11" s="585"/>
      <c r="D11" s="585"/>
      <c r="E11" s="585"/>
      <c r="F11" s="585"/>
      <c r="G11" s="574"/>
      <c r="H11" s="590"/>
      <c r="I11" s="574"/>
      <c r="J11" s="574"/>
      <c r="K11" s="585"/>
      <c r="L11" s="585"/>
      <c r="M11" s="585"/>
      <c r="N11" s="573"/>
      <c r="O11" s="638"/>
      <c r="P11" s="641"/>
      <c r="Q11" s="574"/>
      <c r="R11" s="590"/>
      <c r="S11" s="585"/>
      <c r="T11" s="341">
        <v>45384</v>
      </c>
      <c r="U11" s="589"/>
      <c r="V11" s="328">
        <v>68347.48</v>
      </c>
      <c r="W11" s="341">
        <v>45385</v>
      </c>
      <c r="X11" s="330"/>
      <c r="Y11" s="328"/>
      <c r="Z11" s="328"/>
      <c r="AA11" s="589"/>
      <c r="AB11" s="574"/>
      <c r="AC11" s="585"/>
      <c r="AD11" s="2">
        <v>1</v>
      </c>
    </row>
    <row r="12" spans="1:33" s="2" customFormat="1" x14ac:dyDescent="0.3">
      <c r="A12" s="588"/>
      <c r="B12" s="585"/>
      <c r="C12" s="585"/>
      <c r="D12" s="585"/>
      <c r="E12" s="585"/>
      <c r="F12" s="585"/>
      <c r="G12" s="574"/>
      <c r="H12" s="590"/>
      <c r="I12" s="574"/>
      <c r="J12" s="574"/>
      <c r="K12" s="585"/>
      <c r="L12" s="585"/>
      <c r="M12" s="585"/>
      <c r="N12" s="573"/>
      <c r="O12" s="638"/>
      <c r="P12" s="641"/>
      <c r="Q12" s="574"/>
      <c r="R12" s="590"/>
      <c r="S12" s="585"/>
      <c r="T12" s="341">
        <v>45413</v>
      </c>
      <c r="U12" s="589"/>
      <c r="V12" s="328">
        <v>66142.73</v>
      </c>
      <c r="W12" s="341">
        <v>45419</v>
      </c>
      <c r="X12" s="330"/>
      <c r="Y12" s="328"/>
      <c r="Z12" s="328"/>
      <c r="AA12" s="589"/>
      <c r="AB12" s="574"/>
      <c r="AC12" s="585"/>
      <c r="AD12" s="2">
        <v>1</v>
      </c>
    </row>
    <row r="13" spans="1:33" s="2" customFormat="1" x14ac:dyDescent="0.3">
      <c r="A13" s="588"/>
      <c r="B13" s="585"/>
      <c r="C13" s="585"/>
      <c r="D13" s="585"/>
      <c r="E13" s="585"/>
      <c r="F13" s="585"/>
      <c r="G13" s="574"/>
      <c r="H13" s="590"/>
      <c r="I13" s="574"/>
      <c r="J13" s="574"/>
      <c r="K13" s="585"/>
      <c r="L13" s="585"/>
      <c r="M13" s="585"/>
      <c r="N13" s="573"/>
      <c r="O13" s="638"/>
      <c r="P13" s="641"/>
      <c r="Q13" s="574"/>
      <c r="R13" s="590"/>
      <c r="S13" s="585"/>
      <c r="T13" s="341">
        <v>45445</v>
      </c>
      <c r="U13" s="589"/>
      <c r="V13" s="328">
        <v>68347.48</v>
      </c>
      <c r="W13" s="341">
        <v>45448</v>
      </c>
      <c r="X13" s="330"/>
      <c r="Y13" s="328"/>
      <c r="Z13" s="328"/>
      <c r="AA13" s="589"/>
      <c r="AB13" s="574"/>
      <c r="AC13" s="585"/>
      <c r="AD13" s="2">
        <v>1</v>
      </c>
    </row>
    <row r="14" spans="1:33" s="2" customFormat="1" x14ac:dyDescent="0.3">
      <c r="A14" s="463"/>
      <c r="B14" s="469"/>
      <c r="C14" s="469"/>
      <c r="D14" s="469"/>
      <c r="E14" s="469"/>
      <c r="F14" s="469"/>
      <c r="G14" s="467"/>
      <c r="H14" s="475"/>
      <c r="I14" s="467"/>
      <c r="J14" s="467"/>
      <c r="K14" s="469"/>
      <c r="L14" s="469"/>
      <c r="M14" s="469"/>
      <c r="N14" s="465"/>
      <c r="O14" s="639"/>
      <c r="P14" s="642"/>
      <c r="Q14" s="467"/>
      <c r="R14" s="475"/>
      <c r="S14" s="469"/>
      <c r="T14" s="342">
        <v>45476</v>
      </c>
      <c r="U14" s="587"/>
      <c r="V14" s="335">
        <v>57323.7</v>
      </c>
      <c r="W14" s="342">
        <v>45476</v>
      </c>
      <c r="X14" s="337"/>
      <c r="Y14" s="335"/>
      <c r="Z14" s="335"/>
      <c r="AA14" s="587"/>
      <c r="AB14" s="467"/>
      <c r="AC14" s="469"/>
      <c r="AD14" s="2">
        <v>1</v>
      </c>
    </row>
    <row r="15" spans="1:33" s="107" customFormat="1" ht="144" customHeight="1" x14ac:dyDescent="0.3">
      <c r="A15" s="431">
        <v>2</v>
      </c>
      <c r="B15" s="416" t="s">
        <v>56</v>
      </c>
      <c r="C15" s="416" t="s">
        <v>313</v>
      </c>
      <c r="D15" s="416" t="s">
        <v>147</v>
      </c>
      <c r="E15" s="416" t="s">
        <v>311</v>
      </c>
      <c r="F15" s="416" t="s">
        <v>190</v>
      </c>
      <c r="G15" s="425">
        <v>349440</v>
      </c>
      <c r="H15" s="428">
        <f>IF(AD15 = 2, G15 - Q15,0)</f>
        <v>129292.79999999999</v>
      </c>
      <c r="I15" s="425">
        <v>5</v>
      </c>
      <c r="J15" s="425"/>
      <c r="K15" s="416" t="s">
        <v>146</v>
      </c>
      <c r="L15" s="416" t="s">
        <v>312</v>
      </c>
      <c r="M15" s="416" t="s">
        <v>314</v>
      </c>
      <c r="N15" s="422">
        <v>45470</v>
      </c>
      <c r="O15" s="633">
        <v>2304067057</v>
      </c>
      <c r="P15" s="635" t="s">
        <v>192</v>
      </c>
      <c r="Q15" s="425">
        <v>220147.20000000001</v>
      </c>
      <c r="R15" s="428">
        <f>IF(AD15 = 2, Q15 + SUM(Y15:Y16) - SUM(Z15:Z16) - SUM(V15:V16) - AB15,0)</f>
        <v>135475.20000000001</v>
      </c>
      <c r="S15" s="416"/>
      <c r="T15" s="357">
        <v>45475</v>
      </c>
      <c r="U15" s="486" t="s">
        <v>165</v>
      </c>
      <c r="V15" s="348">
        <v>9676.7999999999993</v>
      </c>
      <c r="W15" s="357">
        <v>45481</v>
      </c>
      <c r="X15" s="350"/>
      <c r="Y15" s="348"/>
      <c r="Z15" s="348"/>
      <c r="AA15" s="486"/>
      <c r="AB15" s="425"/>
      <c r="AC15" s="416"/>
      <c r="AD15" s="107">
        <v>2</v>
      </c>
    </row>
    <row r="16" spans="1:33" s="2" customFormat="1" x14ac:dyDescent="0.3">
      <c r="A16" s="433"/>
      <c r="B16" s="418"/>
      <c r="C16" s="418"/>
      <c r="D16" s="418"/>
      <c r="E16" s="418"/>
      <c r="F16" s="418"/>
      <c r="G16" s="427"/>
      <c r="H16" s="430"/>
      <c r="I16" s="427"/>
      <c r="J16" s="427"/>
      <c r="K16" s="418"/>
      <c r="L16" s="418"/>
      <c r="M16" s="418"/>
      <c r="N16" s="424"/>
      <c r="O16" s="634"/>
      <c r="P16" s="636"/>
      <c r="Q16" s="427"/>
      <c r="R16" s="430"/>
      <c r="S16" s="418"/>
      <c r="T16" s="359">
        <v>45505</v>
      </c>
      <c r="U16" s="488"/>
      <c r="V16" s="354">
        <v>74995.199999999997</v>
      </c>
      <c r="W16" s="359">
        <v>45512</v>
      </c>
      <c r="X16" s="356"/>
      <c r="Y16" s="354"/>
      <c r="Z16" s="354"/>
      <c r="AA16" s="488"/>
      <c r="AB16" s="427"/>
      <c r="AC16" s="418"/>
      <c r="AD16" s="2">
        <v>2</v>
      </c>
    </row>
    <row r="17" spans="1:30" s="107" customFormat="1" ht="180" x14ac:dyDescent="0.3">
      <c r="A17" s="281">
        <v>3</v>
      </c>
      <c r="B17" s="279" t="s">
        <v>56</v>
      </c>
      <c r="C17" s="279" t="s">
        <v>316</v>
      </c>
      <c r="D17" s="279" t="s">
        <v>147</v>
      </c>
      <c r="E17" s="279" t="s">
        <v>315</v>
      </c>
      <c r="F17" s="279" t="s">
        <v>317</v>
      </c>
      <c r="G17" s="282">
        <v>1109683.8</v>
      </c>
      <c r="H17" s="283">
        <f>IF(AD17 = 3, G17 - Q17,0)</f>
        <v>0</v>
      </c>
      <c r="I17" s="282">
        <v>3</v>
      </c>
      <c r="J17" s="282"/>
      <c r="K17" s="279" t="s">
        <v>163</v>
      </c>
      <c r="L17" s="279" t="s">
        <v>318</v>
      </c>
      <c r="M17" s="279" t="s">
        <v>315</v>
      </c>
      <c r="N17" s="287">
        <v>45473</v>
      </c>
      <c r="O17" s="288">
        <v>2353020735</v>
      </c>
      <c r="P17" s="289" t="s">
        <v>319</v>
      </c>
      <c r="Q17" s="282">
        <v>1109683.8</v>
      </c>
      <c r="R17" s="283">
        <f>IF(AD17 = 3, Q17 + SUM(Y17:Y17) - SUM(Z17:Z17) - SUM(V17:V17) - AB17,0)</f>
        <v>1109683.8</v>
      </c>
      <c r="S17" s="279"/>
      <c r="T17" s="287"/>
      <c r="U17" s="284" t="s">
        <v>165</v>
      </c>
      <c r="V17" s="282"/>
      <c r="W17" s="287"/>
      <c r="X17" s="279"/>
      <c r="Y17" s="282"/>
      <c r="Z17" s="282"/>
      <c r="AA17" s="284"/>
      <c r="AB17" s="282"/>
      <c r="AC17" s="279"/>
      <c r="AD17" s="107">
        <v>3</v>
      </c>
    </row>
    <row r="18" spans="1:30" x14ac:dyDescent="0.3">
      <c r="AD18" s="8">
        <v>4</v>
      </c>
    </row>
  </sheetData>
  <sheetProtection password="EB34" sheet="1" objects="1" scenarios="1" formatCells="0" formatColumns="0" formatRows="0"/>
  <mergeCells count="50">
    <mergeCell ref="AB9:AB14"/>
    <mergeCell ref="C9:C14"/>
    <mergeCell ref="AC9:AC14"/>
    <mergeCell ref="D9:D14"/>
    <mergeCell ref="E9:E14"/>
    <mergeCell ref="F9:F14"/>
    <mergeCell ref="G9:G14"/>
    <mergeCell ref="H9:H14"/>
    <mergeCell ref="I9:I14"/>
    <mergeCell ref="J9:J14"/>
    <mergeCell ref="K9:K14"/>
    <mergeCell ref="L9:L14"/>
    <mergeCell ref="M9:M14"/>
    <mergeCell ref="N9:N14"/>
    <mergeCell ref="O9:O14"/>
    <mergeCell ref="P9:P14"/>
    <mergeCell ref="E2:F2"/>
    <mergeCell ref="O2:P2"/>
    <mergeCell ref="Y2:AA2"/>
    <mergeCell ref="T2:U2"/>
    <mergeCell ref="Q9:Q14"/>
    <mergeCell ref="R9:R14"/>
    <mergeCell ref="S9:S14"/>
    <mergeCell ref="A9:A14"/>
    <mergeCell ref="B9:B14"/>
    <mergeCell ref="A15:A16"/>
    <mergeCell ref="U15:U16"/>
    <mergeCell ref="AA15:AA16"/>
    <mergeCell ref="B15:B16"/>
    <mergeCell ref="Q15:Q16"/>
    <mergeCell ref="R15:R16"/>
    <mergeCell ref="S15:S16"/>
    <mergeCell ref="U9:U14"/>
    <mergeCell ref="AA9:AA14"/>
    <mergeCell ref="AB15:AB16"/>
    <mergeCell ref="C15:C16"/>
    <mergeCell ref="AC15:A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31"/>
  <sheetViews>
    <sheetView showGridLines="0" zoomScale="70" zoomScaleNormal="70" workbookViewId="0">
      <pane ySplit="8" topLeftCell="A9" activePane="bottomLeft" state="frozen"/>
      <selection pane="bottomLeft" activeCell="A9" sqref="A9:A30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1" customWidth="1"/>
    <col min="8" max="8" width="22.33203125" style="8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7" width="27" style="11" customWidth="1"/>
    <col min="18" max="18" width="21.88671875" style="8" customWidth="1"/>
    <col min="19" max="19" width="23.5546875" style="8" customWidth="1"/>
    <col min="20" max="20" width="32.4414062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5.109375" style="8" customWidth="1"/>
    <col min="27" max="27" width="23.88671875" style="8" customWidth="1"/>
    <col min="28" max="28" width="20.33203125" style="8" customWidth="1"/>
    <col min="29" max="29" width="20" style="8" customWidth="1"/>
    <col min="30" max="38" width="0" style="8" hidden="1" customWidth="1"/>
    <col min="39" max="16384" width="9.109375" style="8" hidden="1"/>
  </cols>
  <sheetData>
    <row r="1" spans="1:33" ht="18.600000000000001" thickBot="1" x14ac:dyDescent="0.35">
      <c r="T1" s="16"/>
    </row>
    <row r="2" spans="1:33" ht="39.9" customHeight="1" thickBot="1" x14ac:dyDescent="0.35">
      <c r="E2" s="503" t="s">
        <v>139</v>
      </c>
      <c r="F2" s="504"/>
      <c r="G2" s="100">
        <f>SUM(G9:G9999)</f>
        <v>667469.44999999995</v>
      </c>
      <c r="H2" s="15"/>
      <c r="O2" s="503" t="s">
        <v>24</v>
      </c>
      <c r="P2" s="504"/>
      <c r="Q2" s="98">
        <f>SUM(Q9:Q9999)</f>
        <v>667469.44999999995</v>
      </c>
      <c r="T2" s="437" t="s">
        <v>137</v>
      </c>
      <c r="U2" s="439"/>
      <c r="V2" s="87">
        <f>SUM(V9:V9999)</f>
        <v>655314.62</v>
      </c>
      <c r="X2" s="86"/>
      <c r="Y2" s="437" t="s">
        <v>45</v>
      </c>
      <c r="Z2" s="438"/>
      <c r="AA2" s="439"/>
      <c r="AB2" s="88">
        <f>SUM(AB9:AB9999)</f>
        <v>12154.83</v>
      </c>
    </row>
    <row r="4" spans="1:33" ht="39.9" customHeight="1" x14ac:dyDescent="0.3"/>
    <row r="6" spans="1:33" ht="108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ht="16.2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hidden="1" x14ac:dyDescent="0.3">
      <c r="A8" s="72" t="s">
        <v>36</v>
      </c>
      <c r="B8" s="72"/>
      <c r="C8" s="72" t="s">
        <v>73</v>
      </c>
      <c r="D8" s="72" t="s">
        <v>74</v>
      </c>
      <c r="E8" s="72" t="s">
        <v>71</v>
      </c>
      <c r="F8" s="72" t="s">
        <v>72</v>
      </c>
      <c r="G8" s="74">
        <v>15500.01</v>
      </c>
      <c r="H8" s="74">
        <f t="shared" ref="H8" si="0">G8-Q8</f>
        <v>6725</v>
      </c>
      <c r="I8" s="97">
        <v>6</v>
      </c>
      <c r="J8" s="97">
        <v>0</v>
      </c>
      <c r="K8" s="72" t="s">
        <v>75</v>
      </c>
      <c r="L8" s="72" t="s">
        <v>76</v>
      </c>
      <c r="M8" s="72" t="s">
        <v>77</v>
      </c>
      <c r="N8" s="73">
        <v>43655</v>
      </c>
      <c r="O8" s="72" t="s">
        <v>79</v>
      </c>
      <c r="P8" s="72" t="s">
        <v>78</v>
      </c>
      <c r="Q8" s="74">
        <v>8775.01</v>
      </c>
      <c r="R8" s="74">
        <f>Q8-V8</f>
        <v>0</v>
      </c>
      <c r="S8" s="72" t="s">
        <v>80</v>
      </c>
      <c r="T8" s="73">
        <v>43677</v>
      </c>
      <c r="U8" s="72" t="s">
        <v>81</v>
      </c>
      <c r="V8" s="74">
        <v>8775.01</v>
      </c>
      <c r="W8" s="73">
        <v>43696</v>
      </c>
      <c r="X8" s="72"/>
      <c r="Y8" s="72"/>
      <c r="Z8" s="72"/>
      <c r="AA8" s="72"/>
      <c r="AB8" s="74"/>
      <c r="AC8" s="75" t="s">
        <v>64</v>
      </c>
    </row>
    <row r="9" spans="1:33" s="107" customFormat="1" ht="144" customHeight="1" x14ac:dyDescent="0.3">
      <c r="A9" s="643">
        <v>1</v>
      </c>
      <c r="B9" s="646" t="s">
        <v>56</v>
      </c>
      <c r="C9" s="646" t="s">
        <v>182</v>
      </c>
      <c r="D9" s="646" t="s">
        <v>147</v>
      </c>
      <c r="E9" s="646" t="s">
        <v>183</v>
      </c>
      <c r="F9" s="646" t="s">
        <v>184</v>
      </c>
      <c r="G9" s="649">
        <v>667469.44999999995</v>
      </c>
      <c r="H9" s="652">
        <f>IF(AD9 = 1, G9 - Q9,0)</f>
        <v>0</v>
      </c>
      <c r="I9" s="649">
        <v>1</v>
      </c>
      <c r="J9" s="649"/>
      <c r="K9" s="646" t="s">
        <v>163</v>
      </c>
      <c r="L9" s="646" t="s">
        <v>185</v>
      </c>
      <c r="M9" s="646" t="s">
        <v>183</v>
      </c>
      <c r="N9" s="658">
        <v>45285</v>
      </c>
      <c r="O9" s="646" t="s">
        <v>186</v>
      </c>
      <c r="P9" s="646" t="s">
        <v>187</v>
      </c>
      <c r="Q9" s="649">
        <v>667469.44999999995</v>
      </c>
      <c r="R9" s="652">
        <f>IF(AD9 = 1, Q9 + SUM(Y9:Y30) - SUM(Z9:Z30) - SUM(V9:V30) - AB9,0)</f>
        <v>-4.1836756281554699E-11</v>
      </c>
      <c r="S9" s="646"/>
      <c r="T9" s="224">
        <v>45324</v>
      </c>
      <c r="U9" s="646" t="s">
        <v>165</v>
      </c>
      <c r="V9" s="217">
        <v>23760</v>
      </c>
      <c r="W9" s="224">
        <v>45334</v>
      </c>
      <c r="X9" s="218"/>
      <c r="Y9" s="217"/>
      <c r="Z9" s="217"/>
      <c r="AA9" s="646"/>
      <c r="AB9" s="649">
        <v>12154.83</v>
      </c>
      <c r="AC9" s="655"/>
      <c r="AD9" s="107">
        <v>1</v>
      </c>
    </row>
    <row r="10" spans="1:33" s="2" customFormat="1" x14ac:dyDescent="0.3">
      <c r="A10" s="644"/>
      <c r="B10" s="647"/>
      <c r="C10" s="647"/>
      <c r="D10" s="647"/>
      <c r="E10" s="647"/>
      <c r="F10" s="647"/>
      <c r="G10" s="650"/>
      <c r="H10" s="653"/>
      <c r="I10" s="650"/>
      <c r="J10" s="650"/>
      <c r="K10" s="647"/>
      <c r="L10" s="647"/>
      <c r="M10" s="647"/>
      <c r="N10" s="659"/>
      <c r="O10" s="647"/>
      <c r="P10" s="647"/>
      <c r="Q10" s="650"/>
      <c r="R10" s="653"/>
      <c r="S10" s="647"/>
      <c r="T10" s="225">
        <v>45329</v>
      </c>
      <c r="U10" s="647"/>
      <c r="V10" s="219">
        <v>450</v>
      </c>
      <c r="W10" s="225">
        <v>45334</v>
      </c>
      <c r="X10" s="220"/>
      <c r="Y10" s="219"/>
      <c r="Z10" s="219"/>
      <c r="AA10" s="647"/>
      <c r="AB10" s="650"/>
      <c r="AC10" s="656"/>
      <c r="AD10" s="2">
        <v>1</v>
      </c>
    </row>
    <row r="11" spans="1:33" s="2" customFormat="1" x14ac:dyDescent="0.3">
      <c r="A11" s="644"/>
      <c r="B11" s="647"/>
      <c r="C11" s="647"/>
      <c r="D11" s="647"/>
      <c r="E11" s="647"/>
      <c r="F11" s="647"/>
      <c r="G11" s="650"/>
      <c r="H11" s="653"/>
      <c r="I11" s="650"/>
      <c r="J11" s="650"/>
      <c r="K11" s="647"/>
      <c r="L11" s="647"/>
      <c r="M11" s="647"/>
      <c r="N11" s="659"/>
      <c r="O11" s="647"/>
      <c r="P11" s="647"/>
      <c r="Q11" s="650"/>
      <c r="R11" s="653"/>
      <c r="S11" s="647"/>
      <c r="T11" s="225">
        <v>45317</v>
      </c>
      <c r="U11" s="647"/>
      <c r="V11" s="219">
        <v>27600</v>
      </c>
      <c r="W11" s="225">
        <v>45334</v>
      </c>
      <c r="X11" s="220"/>
      <c r="Y11" s="219"/>
      <c r="Z11" s="219"/>
      <c r="AA11" s="647"/>
      <c r="AB11" s="650"/>
      <c r="AC11" s="656"/>
      <c r="AD11" s="2">
        <v>1</v>
      </c>
    </row>
    <row r="12" spans="1:33" s="2" customFormat="1" x14ac:dyDescent="0.3">
      <c r="A12" s="644"/>
      <c r="B12" s="647"/>
      <c r="C12" s="647"/>
      <c r="D12" s="647"/>
      <c r="E12" s="647"/>
      <c r="F12" s="647"/>
      <c r="G12" s="650"/>
      <c r="H12" s="653"/>
      <c r="I12" s="650"/>
      <c r="J12" s="650"/>
      <c r="K12" s="647"/>
      <c r="L12" s="647"/>
      <c r="M12" s="647"/>
      <c r="N12" s="659"/>
      <c r="O12" s="647"/>
      <c r="P12" s="647"/>
      <c r="Q12" s="650"/>
      <c r="R12" s="653"/>
      <c r="S12" s="647"/>
      <c r="T12" s="225">
        <v>45324</v>
      </c>
      <c r="U12" s="647"/>
      <c r="V12" s="219">
        <v>68246.42</v>
      </c>
      <c r="W12" s="225">
        <v>45338</v>
      </c>
      <c r="X12" s="220"/>
      <c r="Y12" s="219"/>
      <c r="Z12" s="219"/>
      <c r="AA12" s="647"/>
      <c r="AB12" s="650"/>
      <c r="AC12" s="656"/>
      <c r="AD12" s="2">
        <v>1</v>
      </c>
    </row>
    <row r="13" spans="1:33" s="2" customFormat="1" x14ac:dyDescent="0.3">
      <c r="A13" s="644"/>
      <c r="B13" s="647"/>
      <c r="C13" s="647"/>
      <c r="D13" s="647"/>
      <c r="E13" s="647"/>
      <c r="F13" s="647"/>
      <c r="G13" s="650"/>
      <c r="H13" s="653"/>
      <c r="I13" s="650"/>
      <c r="J13" s="650"/>
      <c r="K13" s="647"/>
      <c r="L13" s="647"/>
      <c r="M13" s="647"/>
      <c r="N13" s="659"/>
      <c r="O13" s="647"/>
      <c r="P13" s="647"/>
      <c r="Q13" s="650"/>
      <c r="R13" s="653"/>
      <c r="S13" s="647"/>
      <c r="T13" s="225">
        <v>45324</v>
      </c>
      <c r="U13" s="647"/>
      <c r="V13" s="219">
        <v>4356.22</v>
      </c>
      <c r="W13" s="225">
        <v>45338</v>
      </c>
      <c r="X13" s="220"/>
      <c r="Y13" s="219"/>
      <c r="Z13" s="219"/>
      <c r="AA13" s="647"/>
      <c r="AB13" s="650"/>
      <c r="AC13" s="656"/>
      <c r="AD13" s="2">
        <v>1</v>
      </c>
    </row>
    <row r="14" spans="1:33" s="2" customFormat="1" x14ac:dyDescent="0.3">
      <c r="A14" s="644"/>
      <c r="B14" s="647"/>
      <c r="C14" s="647"/>
      <c r="D14" s="647"/>
      <c r="E14" s="647"/>
      <c r="F14" s="647"/>
      <c r="G14" s="650"/>
      <c r="H14" s="653"/>
      <c r="I14" s="650"/>
      <c r="J14" s="650"/>
      <c r="K14" s="647"/>
      <c r="L14" s="647"/>
      <c r="M14" s="647"/>
      <c r="N14" s="659"/>
      <c r="O14" s="647"/>
      <c r="P14" s="647"/>
      <c r="Q14" s="650"/>
      <c r="R14" s="653"/>
      <c r="S14" s="647"/>
      <c r="T14" s="225">
        <v>45329</v>
      </c>
      <c r="U14" s="647"/>
      <c r="V14" s="219">
        <v>1292.55</v>
      </c>
      <c r="W14" s="225">
        <v>45338</v>
      </c>
      <c r="X14" s="220"/>
      <c r="Y14" s="219"/>
      <c r="Z14" s="219"/>
      <c r="AA14" s="647"/>
      <c r="AB14" s="650"/>
      <c r="AC14" s="656"/>
      <c r="AD14" s="2">
        <v>1</v>
      </c>
    </row>
    <row r="15" spans="1:33" s="2" customFormat="1" x14ac:dyDescent="0.3">
      <c r="A15" s="644"/>
      <c r="B15" s="647"/>
      <c r="C15" s="647"/>
      <c r="D15" s="647"/>
      <c r="E15" s="647"/>
      <c r="F15" s="647"/>
      <c r="G15" s="650"/>
      <c r="H15" s="653"/>
      <c r="I15" s="650"/>
      <c r="J15" s="650"/>
      <c r="K15" s="647"/>
      <c r="L15" s="647"/>
      <c r="M15" s="647"/>
      <c r="N15" s="659"/>
      <c r="O15" s="647"/>
      <c r="P15" s="647"/>
      <c r="Q15" s="650"/>
      <c r="R15" s="653"/>
      <c r="S15" s="647"/>
      <c r="T15" s="225">
        <v>45329</v>
      </c>
      <c r="U15" s="647"/>
      <c r="V15" s="219">
        <v>82.5</v>
      </c>
      <c r="W15" s="225">
        <v>45338</v>
      </c>
      <c r="X15" s="220"/>
      <c r="Y15" s="219"/>
      <c r="Z15" s="219"/>
      <c r="AA15" s="647"/>
      <c r="AB15" s="650"/>
      <c r="AC15" s="656"/>
      <c r="AD15" s="2">
        <v>1</v>
      </c>
    </row>
    <row r="16" spans="1:33" s="2" customFormat="1" x14ac:dyDescent="0.3">
      <c r="A16" s="644"/>
      <c r="B16" s="647"/>
      <c r="C16" s="647"/>
      <c r="D16" s="647"/>
      <c r="E16" s="647"/>
      <c r="F16" s="647"/>
      <c r="G16" s="650"/>
      <c r="H16" s="653"/>
      <c r="I16" s="650"/>
      <c r="J16" s="650"/>
      <c r="K16" s="647"/>
      <c r="L16" s="647"/>
      <c r="M16" s="647"/>
      <c r="N16" s="659"/>
      <c r="O16" s="647"/>
      <c r="P16" s="647"/>
      <c r="Q16" s="650"/>
      <c r="R16" s="653"/>
      <c r="S16" s="647"/>
      <c r="T16" s="225">
        <v>45317</v>
      </c>
      <c r="U16" s="647"/>
      <c r="V16" s="219">
        <v>79276.14</v>
      </c>
      <c r="W16" s="225">
        <v>45338</v>
      </c>
      <c r="X16" s="220"/>
      <c r="Y16" s="219"/>
      <c r="Z16" s="219"/>
      <c r="AA16" s="647"/>
      <c r="AB16" s="650"/>
      <c r="AC16" s="656"/>
      <c r="AD16" s="2">
        <v>1</v>
      </c>
    </row>
    <row r="17" spans="1:30" s="2" customFormat="1" x14ac:dyDescent="0.3">
      <c r="A17" s="644"/>
      <c r="B17" s="647"/>
      <c r="C17" s="647"/>
      <c r="D17" s="647"/>
      <c r="E17" s="647"/>
      <c r="F17" s="647"/>
      <c r="G17" s="650"/>
      <c r="H17" s="653"/>
      <c r="I17" s="650"/>
      <c r="J17" s="650"/>
      <c r="K17" s="647"/>
      <c r="L17" s="647"/>
      <c r="M17" s="647"/>
      <c r="N17" s="659"/>
      <c r="O17" s="647"/>
      <c r="P17" s="647"/>
      <c r="Q17" s="650"/>
      <c r="R17" s="653"/>
      <c r="S17" s="647"/>
      <c r="T17" s="225">
        <v>45317</v>
      </c>
      <c r="U17" s="647"/>
      <c r="V17" s="219">
        <v>5060.26</v>
      </c>
      <c r="W17" s="225">
        <v>45338</v>
      </c>
      <c r="X17" s="220"/>
      <c r="Y17" s="219"/>
      <c r="Z17" s="219"/>
      <c r="AA17" s="647"/>
      <c r="AB17" s="650"/>
      <c r="AC17" s="656"/>
      <c r="AD17" s="2">
        <v>1</v>
      </c>
    </row>
    <row r="18" spans="1:30" s="2" customFormat="1" x14ac:dyDescent="0.3">
      <c r="A18" s="644"/>
      <c r="B18" s="647"/>
      <c r="C18" s="647"/>
      <c r="D18" s="647"/>
      <c r="E18" s="647"/>
      <c r="F18" s="647"/>
      <c r="G18" s="650"/>
      <c r="H18" s="653"/>
      <c r="I18" s="650"/>
      <c r="J18" s="650"/>
      <c r="K18" s="647"/>
      <c r="L18" s="647"/>
      <c r="M18" s="647"/>
      <c r="N18" s="659"/>
      <c r="O18" s="647"/>
      <c r="P18" s="647"/>
      <c r="Q18" s="650"/>
      <c r="R18" s="653"/>
      <c r="S18" s="647"/>
      <c r="T18" s="225">
        <v>45343</v>
      </c>
      <c r="U18" s="647"/>
      <c r="V18" s="219">
        <v>32730</v>
      </c>
      <c r="W18" s="225">
        <v>45348</v>
      </c>
      <c r="X18" s="220"/>
      <c r="Y18" s="219"/>
      <c r="Z18" s="219"/>
      <c r="AA18" s="647"/>
      <c r="AB18" s="650"/>
      <c r="AC18" s="656"/>
      <c r="AD18" s="2">
        <v>1</v>
      </c>
    </row>
    <row r="19" spans="1:30" s="2" customFormat="1" x14ac:dyDescent="0.3">
      <c r="A19" s="644"/>
      <c r="B19" s="647"/>
      <c r="C19" s="647"/>
      <c r="D19" s="647"/>
      <c r="E19" s="647"/>
      <c r="F19" s="647"/>
      <c r="G19" s="650"/>
      <c r="H19" s="653"/>
      <c r="I19" s="650"/>
      <c r="J19" s="650"/>
      <c r="K19" s="647"/>
      <c r="L19" s="647"/>
      <c r="M19" s="647"/>
      <c r="N19" s="659"/>
      <c r="O19" s="647"/>
      <c r="P19" s="647"/>
      <c r="Q19" s="650"/>
      <c r="R19" s="653"/>
      <c r="S19" s="647"/>
      <c r="T19" s="225">
        <v>45343</v>
      </c>
      <c r="U19" s="647"/>
      <c r="V19" s="219">
        <v>94011.16</v>
      </c>
      <c r="W19" s="225">
        <v>45348</v>
      </c>
      <c r="X19" s="220"/>
      <c r="Y19" s="219"/>
      <c r="Z19" s="219"/>
      <c r="AA19" s="647"/>
      <c r="AB19" s="650"/>
      <c r="AC19" s="656"/>
      <c r="AD19" s="2">
        <v>1</v>
      </c>
    </row>
    <row r="20" spans="1:30" s="2" customFormat="1" x14ac:dyDescent="0.3">
      <c r="A20" s="644"/>
      <c r="B20" s="647"/>
      <c r="C20" s="647"/>
      <c r="D20" s="647"/>
      <c r="E20" s="647"/>
      <c r="F20" s="647"/>
      <c r="G20" s="650"/>
      <c r="H20" s="653"/>
      <c r="I20" s="650"/>
      <c r="J20" s="650"/>
      <c r="K20" s="647"/>
      <c r="L20" s="647"/>
      <c r="M20" s="647"/>
      <c r="N20" s="659"/>
      <c r="O20" s="647"/>
      <c r="P20" s="647"/>
      <c r="Q20" s="650"/>
      <c r="R20" s="653"/>
      <c r="S20" s="647"/>
      <c r="T20" s="225">
        <v>45343</v>
      </c>
      <c r="U20" s="647"/>
      <c r="V20" s="219">
        <v>6000.81</v>
      </c>
      <c r="W20" s="225">
        <v>45348</v>
      </c>
      <c r="X20" s="220"/>
      <c r="Y20" s="219"/>
      <c r="Z20" s="219"/>
      <c r="AA20" s="647"/>
      <c r="AB20" s="650"/>
      <c r="AC20" s="656"/>
      <c r="AD20" s="2">
        <v>1</v>
      </c>
    </row>
    <row r="21" spans="1:30" s="2" customFormat="1" x14ac:dyDescent="0.3">
      <c r="A21" s="644"/>
      <c r="B21" s="647"/>
      <c r="C21" s="647"/>
      <c r="D21" s="647"/>
      <c r="E21" s="647"/>
      <c r="F21" s="647"/>
      <c r="G21" s="650"/>
      <c r="H21" s="653"/>
      <c r="I21" s="650"/>
      <c r="J21" s="650"/>
      <c r="K21" s="647"/>
      <c r="L21" s="647"/>
      <c r="M21" s="647"/>
      <c r="N21" s="659"/>
      <c r="O21" s="647"/>
      <c r="P21" s="647"/>
      <c r="Q21" s="650"/>
      <c r="R21" s="653"/>
      <c r="S21" s="647"/>
      <c r="T21" s="225">
        <v>45358</v>
      </c>
      <c r="U21" s="647"/>
      <c r="V21" s="219">
        <v>74967.66</v>
      </c>
      <c r="W21" s="225">
        <v>45371</v>
      </c>
      <c r="X21" s="220"/>
      <c r="Y21" s="219"/>
      <c r="Z21" s="219"/>
      <c r="AA21" s="647"/>
      <c r="AB21" s="650"/>
      <c r="AC21" s="656"/>
      <c r="AD21" s="2">
        <v>1</v>
      </c>
    </row>
    <row r="22" spans="1:30" s="2" customFormat="1" x14ac:dyDescent="0.3">
      <c r="A22" s="644"/>
      <c r="B22" s="647"/>
      <c r="C22" s="647"/>
      <c r="D22" s="647"/>
      <c r="E22" s="647"/>
      <c r="F22" s="647"/>
      <c r="G22" s="650"/>
      <c r="H22" s="653"/>
      <c r="I22" s="650"/>
      <c r="J22" s="650"/>
      <c r="K22" s="647"/>
      <c r="L22" s="647"/>
      <c r="M22" s="647"/>
      <c r="N22" s="659"/>
      <c r="O22" s="647"/>
      <c r="P22" s="647"/>
      <c r="Q22" s="650"/>
      <c r="R22" s="653"/>
      <c r="S22" s="647"/>
      <c r="T22" s="225">
        <v>45358</v>
      </c>
      <c r="U22" s="647"/>
      <c r="V22" s="219">
        <v>4785.24</v>
      </c>
      <c r="W22" s="225">
        <v>45371</v>
      </c>
      <c r="X22" s="220"/>
      <c r="Y22" s="219"/>
      <c r="Z22" s="219"/>
      <c r="AA22" s="647"/>
      <c r="AB22" s="650"/>
      <c r="AC22" s="656"/>
      <c r="AD22" s="2">
        <v>1</v>
      </c>
    </row>
    <row r="23" spans="1:30" s="2" customFormat="1" x14ac:dyDescent="0.3">
      <c r="A23" s="644"/>
      <c r="B23" s="647"/>
      <c r="C23" s="647"/>
      <c r="D23" s="647"/>
      <c r="E23" s="647"/>
      <c r="F23" s="647"/>
      <c r="G23" s="650"/>
      <c r="H23" s="653"/>
      <c r="I23" s="650"/>
      <c r="J23" s="650"/>
      <c r="K23" s="647"/>
      <c r="L23" s="647"/>
      <c r="M23" s="647"/>
      <c r="N23" s="659"/>
      <c r="O23" s="647"/>
      <c r="P23" s="647"/>
      <c r="Q23" s="650"/>
      <c r="R23" s="653"/>
      <c r="S23" s="647"/>
      <c r="T23" s="225">
        <v>45358</v>
      </c>
      <c r="U23" s="647"/>
      <c r="V23" s="219">
        <v>26100</v>
      </c>
      <c r="W23" s="225">
        <v>45371</v>
      </c>
      <c r="X23" s="220"/>
      <c r="Y23" s="219"/>
      <c r="Z23" s="219"/>
      <c r="AA23" s="647"/>
      <c r="AB23" s="650"/>
      <c r="AC23" s="656"/>
      <c r="AD23" s="2">
        <v>1</v>
      </c>
    </row>
    <row r="24" spans="1:30" s="2" customFormat="1" x14ac:dyDescent="0.3">
      <c r="A24" s="644"/>
      <c r="B24" s="647"/>
      <c r="C24" s="647"/>
      <c r="D24" s="647"/>
      <c r="E24" s="647"/>
      <c r="F24" s="647"/>
      <c r="G24" s="650"/>
      <c r="H24" s="653"/>
      <c r="I24" s="650"/>
      <c r="J24" s="650"/>
      <c r="K24" s="647"/>
      <c r="L24" s="647"/>
      <c r="M24" s="647"/>
      <c r="N24" s="659"/>
      <c r="O24" s="647"/>
      <c r="P24" s="647"/>
      <c r="Q24" s="650"/>
      <c r="R24" s="653"/>
      <c r="S24" s="647"/>
      <c r="T24" s="225">
        <v>45371</v>
      </c>
      <c r="U24" s="647"/>
      <c r="V24" s="219">
        <v>96251.58</v>
      </c>
      <c r="W24" s="225">
        <v>45379</v>
      </c>
      <c r="X24" s="220"/>
      <c r="Y24" s="219"/>
      <c r="Z24" s="219"/>
      <c r="AA24" s="647"/>
      <c r="AB24" s="650"/>
      <c r="AC24" s="656"/>
      <c r="AD24" s="2">
        <v>1</v>
      </c>
    </row>
    <row r="25" spans="1:30" s="2" customFormat="1" x14ac:dyDescent="0.3">
      <c r="A25" s="644"/>
      <c r="B25" s="647"/>
      <c r="C25" s="647"/>
      <c r="D25" s="647"/>
      <c r="E25" s="647"/>
      <c r="F25" s="647"/>
      <c r="G25" s="650"/>
      <c r="H25" s="653"/>
      <c r="I25" s="650"/>
      <c r="J25" s="650"/>
      <c r="K25" s="647"/>
      <c r="L25" s="647"/>
      <c r="M25" s="647"/>
      <c r="N25" s="659"/>
      <c r="O25" s="647"/>
      <c r="P25" s="647"/>
      <c r="Q25" s="650"/>
      <c r="R25" s="653"/>
      <c r="S25" s="647"/>
      <c r="T25" s="225">
        <v>45371</v>
      </c>
      <c r="U25" s="647"/>
      <c r="V25" s="219">
        <v>6143.81</v>
      </c>
      <c r="W25" s="225">
        <v>45379</v>
      </c>
      <c r="X25" s="220"/>
      <c r="Y25" s="219"/>
      <c r="Z25" s="219"/>
      <c r="AA25" s="647"/>
      <c r="AB25" s="650"/>
      <c r="AC25" s="656"/>
      <c r="AD25" s="2">
        <v>1</v>
      </c>
    </row>
    <row r="26" spans="1:30" s="2" customFormat="1" x14ac:dyDescent="0.3">
      <c r="A26" s="644"/>
      <c r="B26" s="647"/>
      <c r="C26" s="647"/>
      <c r="D26" s="647"/>
      <c r="E26" s="647"/>
      <c r="F26" s="647"/>
      <c r="G26" s="650"/>
      <c r="H26" s="653"/>
      <c r="I26" s="650"/>
      <c r="J26" s="650"/>
      <c r="K26" s="647"/>
      <c r="L26" s="647"/>
      <c r="M26" s="647"/>
      <c r="N26" s="659"/>
      <c r="O26" s="647"/>
      <c r="P26" s="647"/>
      <c r="Q26" s="650"/>
      <c r="R26" s="653"/>
      <c r="S26" s="647"/>
      <c r="T26" s="225">
        <v>45371</v>
      </c>
      <c r="U26" s="647"/>
      <c r="V26" s="219">
        <v>33510</v>
      </c>
      <c r="W26" s="225">
        <v>45379</v>
      </c>
      <c r="X26" s="220"/>
      <c r="Y26" s="219"/>
      <c r="Z26" s="219"/>
      <c r="AA26" s="647"/>
      <c r="AB26" s="650"/>
      <c r="AC26" s="656"/>
      <c r="AD26" s="2">
        <v>1</v>
      </c>
    </row>
    <row r="27" spans="1:30" s="2" customFormat="1" x14ac:dyDescent="0.3">
      <c r="A27" s="644"/>
      <c r="B27" s="647"/>
      <c r="C27" s="647"/>
      <c r="D27" s="647"/>
      <c r="E27" s="647"/>
      <c r="F27" s="647"/>
      <c r="G27" s="650"/>
      <c r="H27" s="653"/>
      <c r="I27" s="650"/>
      <c r="J27" s="650"/>
      <c r="K27" s="647"/>
      <c r="L27" s="647"/>
      <c r="M27" s="647"/>
      <c r="N27" s="659"/>
      <c r="O27" s="647"/>
      <c r="P27" s="647"/>
      <c r="Q27" s="650"/>
      <c r="R27" s="653"/>
      <c r="S27" s="647"/>
      <c r="T27" s="225">
        <v>45379</v>
      </c>
      <c r="U27" s="647"/>
      <c r="V27" s="219">
        <v>17430</v>
      </c>
      <c r="W27" s="225">
        <v>45387</v>
      </c>
      <c r="X27" s="220"/>
      <c r="Y27" s="219"/>
      <c r="Z27" s="219"/>
      <c r="AA27" s="647"/>
      <c r="AB27" s="650"/>
      <c r="AC27" s="656"/>
      <c r="AD27" s="2">
        <v>1</v>
      </c>
    </row>
    <row r="28" spans="1:30" s="2" customFormat="1" x14ac:dyDescent="0.3">
      <c r="A28" s="644"/>
      <c r="B28" s="647"/>
      <c r="C28" s="647"/>
      <c r="D28" s="647"/>
      <c r="E28" s="647"/>
      <c r="F28" s="647"/>
      <c r="G28" s="650"/>
      <c r="H28" s="653"/>
      <c r="I28" s="650"/>
      <c r="J28" s="650"/>
      <c r="K28" s="647"/>
      <c r="L28" s="647"/>
      <c r="M28" s="647"/>
      <c r="N28" s="659"/>
      <c r="O28" s="647"/>
      <c r="P28" s="647"/>
      <c r="Q28" s="650"/>
      <c r="R28" s="653"/>
      <c r="S28" s="647"/>
      <c r="T28" s="225">
        <v>45379</v>
      </c>
      <c r="U28" s="647"/>
      <c r="V28" s="219">
        <v>50064.61</v>
      </c>
      <c r="W28" s="225">
        <v>45387</v>
      </c>
      <c r="X28" s="220"/>
      <c r="Y28" s="219"/>
      <c r="Z28" s="219"/>
      <c r="AA28" s="647"/>
      <c r="AB28" s="650"/>
      <c r="AC28" s="656"/>
      <c r="AD28" s="2">
        <v>1</v>
      </c>
    </row>
    <row r="29" spans="1:30" s="2" customFormat="1" x14ac:dyDescent="0.3">
      <c r="A29" s="644"/>
      <c r="B29" s="647"/>
      <c r="C29" s="647"/>
      <c r="D29" s="647"/>
      <c r="E29" s="647"/>
      <c r="F29" s="647"/>
      <c r="G29" s="650"/>
      <c r="H29" s="653"/>
      <c r="I29" s="650"/>
      <c r="J29" s="650"/>
      <c r="K29" s="647"/>
      <c r="L29" s="647"/>
      <c r="M29" s="647"/>
      <c r="N29" s="659"/>
      <c r="O29" s="647"/>
      <c r="P29" s="647"/>
      <c r="Q29" s="650"/>
      <c r="R29" s="653"/>
      <c r="S29" s="647"/>
      <c r="T29" s="225">
        <v>45379</v>
      </c>
      <c r="U29" s="647"/>
      <c r="V29" s="219">
        <v>3195.66</v>
      </c>
      <c r="W29" s="225">
        <v>45387</v>
      </c>
      <c r="X29" s="220"/>
      <c r="Y29" s="219"/>
      <c r="Z29" s="219"/>
      <c r="AA29" s="647"/>
      <c r="AB29" s="650"/>
      <c r="AC29" s="656"/>
      <c r="AD29" s="2">
        <v>1</v>
      </c>
    </row>
    <row r="30" spans="1:30" s="2" customFormat="1" x14ac:dyDescent="0.3">
      <c r="A30" s="645"/>
      <c r="B30" s="648"/>
      <c r="C30" s="648"/>
      <c r="D30" s="648"/>
      <c r="E30" s="648"/>
      <c r="F30" s="648"/>
      <c r="G30" s="651"/>
      <c r="H30" s="654"/>
      <c r="I30" s="651"/>
      <c r="J30" s="651"/>
      <c r="K30" s="648"/>
      <c r="L30" s="648"/>
      <c r="M30" s="648"/>
      <c r="N30" s="660"/>
      <c r="O30" s="648"/>
      <c r="P30" s="648"/>
      <c r="Q30" s="651"/>
      <c r="R30" s="654"/>
      <c r="S30" s="648"/>
      <c r="T30" s="226"/>
      <c r="U30" s="648"/>
      <c r="V30" s="221"/>
      <c r="W30" s="226"/>
      <c r="X30" s="222"/>
      <c r="Y30" s="221"/>
      <c r="Z30" s="221"/>
      <c r="AA30" s="648"/>
      <c r="AB30" s="651"/>
      <c r="AC30" s="657"/>
      <c r="AD30" s="2">
        <v>1</v>
      </c>
    </row>
    <row r="31" spans="1:30" x14ac:dyDescent="0.3">
      <c r="A31" s="14"/>
      <c r="B31" s="14"/>
      <c r="C31" s="14"/>
      <c r="D31" s="14"/>
      <c r="E31" s="14"/>
      <c r="F31" s="14"/>
      <c r="G31" s="15"/>
      <c r="H31" s="16"/>
      <c r="I31" s="105"/>
      <c r="J31" s="105"/>
      <c r="K31" s="14"/>
      <c r="L31" s="14"/>
      <c r="M31" s="14"/>
      <c r="N31" s="29"/>
      <c r="O31" s="14"/>
      <c r="P31" s="14"/>
      <c r="Q31" s="15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8">
        <v>2</v>
      </c>
    </row>
  </sheetData>
  <sheetProtection password="EB34" sheet="1" objects="1" scenarios="1" formatCells="0" formatColumns="0" formatRows="0"/>
  <mergeCells count="27">
    <mergeCell ref="AB9:AB30"/>
    <mergeCell ref="C9:C30"/>
    <mergeCell ref="S9:S30"/>
    <mergeCell ref="AC9:AC30"/>
    <mergeCell ref="D9:D30"/>
    <mergeCell ref="E9:E30"/>
    <mergeCell ref="F9:F30"/>
    <mergeCell ref="G9:G30"/>
    <mergeCell ref="H9:H30"/>
    <mergeCell ref="I9:I30"/>
    <mergeCell ref="J9:J30"/>
    <mergeCell ref="K9:K30"/>
    <mergeCell ref="L9:L30"/>
    <mergeCell ref="M9:M30"/>
    <mergeCell ref="N9:N30"/>
    <mergeCell ref="O9:O30"/>
    <mergeCell ref="E2:F2"/>
    <mergeCell ref="O2:P2"/>
    <mergeCell ref="Y2:AA2"/>
    <mergeCell ref="T2:U2"/>
    <mergeCell ref="A9:A30"/>
    <mergeCell ref="U9:U30"/>
    <mergeCell ref="AA9:AA30"/>
    <mergeCell ref="B9:B30"/>
    <mergeCell ref="P9:P30"/>
    <mergeCell ref="Q9:Q30"/>
    <mergeCell ref="R9:R3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G17"/>
  <sheetViews>
    <sheetView showGridLines="0" zoomScale="50" zoomScaleNormal="50" workbookViewId="0">
      <pane ySplit="8" topLeftCell="A30" activePane="bottomLeft" state="frozen"/>
      <selection pane="bottomLeft" activeCell="C9" sqref="C9"/>
    </sheetView>
  </sheetViews>
  <sheetFormatPr defaultColWidth="0" defaultRowHeight="18" x14ac:dyDescent="0.3"/>
  <cols>
    <col min="1" max="1" width="9.109375" style="8" customWidth="1"/>
    <col min="2" max="2" width="47.109375" style="8" customWidth="1"/>
    <col min="3" max="3" width="33.33203125" style="8" customWidth="1"/>
    <col min="4" max="6" width="33.6640625" style="8" customWidth="1"/>
    <col min="7" max="8" width="22.33203125" style="8" customWidth="1"/>
    <col min="9" max="9" width="24.33203125" style="8" customWidth="1"/>
    <col min="10" max="10" width="28.44140625" style="8" customWidth="1"/>
    <col min="11" max="12" width="19.5546875" style="8" customWidth="1"/>
    <col min="13" max="13" width="25.6640625" style="8" customWidth="1"/>
    <col min="14" max="14" width="24.44140625" style="8" bestFit="1" customWidth="1"/>
    <col min="15" max="15" width="24.44140625" style="8" customWidth="1"/>
    <col min="16" max="16" width="31.5546875" style="8" customWidth="1"/>
    <col min="17" max="18" width="21.88671875" style="8" customWidth="1"/>
    <col min="19" max="19" width="23.5546875" style="8" customWidth="1"/>
    <col min="20" max="20" width="31.8867187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9.44140625" style="8" customWidth="1"/>
    <col min="27" max="27" width="26.33203125" style="8" customWidth="1"/>
    <col min="28" max="28" width="25.109375" style="8" customWidth="1"/>
    <col min="29" max="29" width="19.109375" style="8" customWidth="1"/>
    <col min="30" max="16384" width="9.109375" style="8" hidden="1"/>
  </cols>
  <sheetData>
    <row r="1" spans="1:33" ht="18.600000000000001" thickBot="1" x14ac:dyDescent="0.35"/>
    <row r="2" spans="1:33" ht="39.9" customHeight="1" thickBot="1" x14ac:dyDescent="0.35">
      <c r="E2" s="503" t="s">
        <v>139</v>
      </c>
      <c r="F2" s="504"/>
      <c r="G2" s="100">
        <f>SUM(G9:G9999)</f>
        <v>0</v>
      </c>
      <c r="H2" s="15"/>
      <c r="O2" s="503" t="s">
        <v>24</v>
      </c>
      <c r="P2" s="504"/>
      <c r="Q2" s="98">
        <f>SUM(Q9:Q9999)</f>
        <v>0</v>
      </c>
      <c r="T2" s="437" t="s">
        <v>137</v>
      </c>
      <c r="U2" s="439"/>
      <c r="V2" s="87">
        <f>SUM(V9:V9999)</f>
        <v>0</v>
      </c>
      <c r="X2" s="86"/>
      <c r="Y2" s="437" t="s">
        <v>45</v>
      </c>
      <c r="Z2" s="438"/>
      <c r="AA2" s="439"/>
      <c r="AB2" s="88">
        <f>SUM(AB9:AB9999)</f>
        <v>0</v>
      </c>
    </row>
    <row r="4" spans="1:33" ht="39.9" customHeight="1" x14ac:dyDescent="0.3">
      <c r="P4" s="661"/>
      <c r="Q4" s="661"/>
      <c r="R4" s="661"/>
      <c r="T4" s="102"/>
      <c r="U4" s="102"/>
    </row>
    <row r="6" spans="1:33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  <c r="AB7" s="94">
        <v>28</v>
      </c>
      <c r="AC7" s="94">
        <v>29</v>
      </c>
      <c r="AD7" s="16"/>
      <c r="AE7" s="16"/>
      <c r="AF7" s="16"/>
      <c r="AG7" s="16"/>
    </row>
    <row r="8" spans="1:33" s="2" customFormat="1" ht="162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5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6" t="s">
        <v>81</v>
      </c>
      <c r="V8" s="24">
        <v>8775.01</v>
      </c>
      <c r="W8" s="25">
        <v>43696</v>
      </c>
      <c r="X8" s="26"/>
      <c r="Y8" s="72"/>
      <c r="Z8" s="72"/>
      <c r="AA8" s="26"/>
      <c r="AB8" s="24"/>
      <c r="AC8" s="13" t="s">
        <v>64</v>
      </c>
    </row>
    <row r="9" spans="1:33" hidden="1" x14ac:dyDescent="0.3">
      <c r="M9" s="3"/>
      <c r="AD9" s="8">
        <v>2</v>
      </c>
    </row>
    <row r="10" spans="1:33" hidden="1" x14ac:dyDescent="0.3">
      <c r="M10" s="3"/>
    </row>
    <row r="11" spans="1:33" hidden="1" x14ac:dyDescent="0.3">
      <c r="M11" s="3"/>
    </row>
    <row r="12" spans="1:33" hidden="1" x14ac:dyDescent="0.3">
      <c r="M12" s="3"/>
    </row>
    <row r="13" spans="1:33" hidden="1" x14ac:dyDescent="0.3">
      <c r="M13" s="3"/>
    </row>
    <row r="14" spans="1:33" hidden="1" x14ac:dyDescent="0.3">
      <c r="M14" s="3"/>
    </row>
    <row r="15" spans="1:33" hidden="1" x14ac:dyDescent="0.3">
      <c r="M15" s="3"/>
    </row>
    <row r="16" spans="1:33" hidden="1" x14ac:dyDescent="0.3">
      <c r="M16" s="3"/>
    </row>
    <row r="17" spans="13:13" hidden="1" x14ac:dyDescent="0.3">
      <c r="M17" s="3"/>
    </row>
  </sheetData>
  <sheetProtection algorithmName="SHA-512" hashValue="svwnQHTgnayNx/f7WmgHB0aVsaxg+fZEto1TKce/NaxLBkSW9nEPfsRabc3iO4glPeI3d5M2Q4tx9Em4ZgNkow==" saltValue="7RAv80kEaK/Se34MIk4Bdg==" spinCount="100000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52" customWidth="1"/>
    <col min="2" max="2" width="17.44140625" style="50" customWidth="1"/>
    <col min="3" max="3" width="17.33203125" style="50" customWidth="1"/>
    <col min="4" max="4" width="38.88671875" style="50" customWidth="1"/>
    <col min="5" max="5" width="15.5546875" style="50" bestFit="1" customWidth="1"/>
    <col min="6" max="11" width="16.109375" style="50" customWidth="1"/>
    <col min="12" max="16384" width="9.109375" style="50"/>
  </cols>
  <sheetData>
    <row r="1" spans="1:11" x14ac:dyDescent="0.3">
      <c r="A1" s="65">
        <v>76</v>
      </c>
      <c r="B1" s="65">
        <v>42</v>
      </c>
      <c r="C1" s="65">
        <v>9</v>
      </c>
      <c r="D1" s="664" t="s">
        <v>50</v>
      </c>
      <c r="E1" s="48"/>
      <c r="F1" s="80" t="s">
        <v>108</v>
      </c>
      <c r="G1" s="84" t="s">
        <v>108</v>
      </c>
      <c r="H1" s="83" t="s">
        <v>108</v>
      </c>
      <c r="I1" s="82" t="s">
        <v>108</v>
      </c>
      <c r="J1" s="81" t="s">
        <v>108</v>
      </c>
      <c r="K1" s="85" t="s">
        <v>108</v>
      </c>
    </row>
    <row r="2" spans="1:11" x14ac:dyDescent="0.3">
      <c r="A2" s="66" t="s">
        <v>84</v>
      </c>
      <c r="B2" s="65" t="s">
        <v>85</v>
      </c>
      <c r="C2" s="65" t="s">
        <v>86</v>
      </c>
      <c r="D2" s="665"/>
      <c r="E2" s="48"/>
      <c r="F2" s="80">
        <v>67</v>
      </c>
      <c r="G2" s="84">
        <v>49</v>
      </c>
      <c r="H2" s="83">
        <v>2</v>
      </c>
      <c r="I2" s="82">
        <v>3</v>
      </c>
      <c r="J2" s="81">
        <v>1</v>
      </c>
      <c r="K2" s="85">
        <v>1</v>
      </c>
    </row>
    <row r="3" spans="1:11" x14ac:dyDescent="0.3">
      <c r="A3" s="51"/>
      <c r="B3" s="47"/>
      <c r="C3" s="47"/>
      <c r="D3" s="47"/>
      <c r="E3" s="48"/>
      <c r="F3" s="80" t="s">
        <v>109</v>
      </c>
      <c r="G3" s="84" t="s">
        <v>109</v>
      </c>
      <c r="H3" s="83" t="s">
        <v>109</v>
      </c>
      <c r="I3" s="82" t="s">
        <v>109</v>
      </c>
      <c r="J3" s="81" t="s">
        <v>109</v>
      </c>
      <c r="K3" s="85" t="s">
        <v>109</v>
      </c>
    </row>
    <row r="4" spans="1:11" x14ac:dyDescent="0.3">
      <c r="A4" s="61">
        <v>191</v>
      </c>
      <c r="B4" s="62">
        <v>32</v>
      </c>
      <c r="C4" s="62">
        <v>9</v>
      </c>
      <c r="D4" s="666" t="s">
        <v>102</v>
      </c>
      <c r="E4" s="48"/>
      <c r="F4" s="80">
        <v>68</v>
      </c>
      <c r="G4" s="84">
        <v>50</v>
      </c>
      <c r="H4" s="83">
        <v>3</v>
      </c>
      <c r="I4" s="82">
        <v>4</v>
      </c>
      <c r="J4" s="81">
        <v>2</v>
      </c>
      <c r="K4" s="85">
        <v>2</v>
      </c>
    </row>
    <row r="5" spans="1:11" x14ac:dyDescent="0.3">
      <c r="A5" s="61" t="s">
        <v>89</v>
      </c>
      <c r="B5" s="62" t="s">
        <v>88</v>
      </c>
      <c r="C5" s="62" t="s">
        <v>87</v>
      </c>
      <c r="D5" s="667"/>
      <c r="E5" s="48"/>
      <c r="F5" s="48"/>
      <c r="G5" s="48"/>
      <c r="H5" s="49"/>
      <c r="I5" s="49"/>
      <c r="J5" s="49"/>
    </row>
    <row r="6" spans="1:11" x14ac:dyDescent="0.3">
      <c r="A6" s="51"/>
      <c r="B6" s="47"/>
      <c r="C6" s="47"/>
      <c r="D6" s="47"/>
      <c r="E6" s="48"/>
      <c r="F6" s="48"/>
      <c r="G6" s="48"/>
      <c r="H6" s="49"/>
      <c r="I6" s="49"/>
      <c r="J6" s="49"/>
    </row>
    <row r="7" spans="1:11" x14ac:dyDescent="0.3">
      <c r="A7" s="63">
        <v>14</v>
      </c>
      <c r="B7" s="64">
        <v>2</v>
      </c>
      <c r="C7" s="64">
        <v>9</v>
      </c>
      <c r="D7" s="668" t="s">
        <v>52</v>
      </c>
      <c r="E7" s="48"/>
      <c r="F7" s="48"/>
      <c r="G7" s="48"/>
      <c r="H7" s="49"/>
      <c r="I7" s="49"/>
      <c r="J7" s="49"/>
    </row>
    <row r="8" spans="1:11" x14ac:dyDescent="0.3">
      <c r="A8" s="63" t="s">
        <v>90</v>
      </c>
      <c r="B8" s="64" t="s">
        <v>91</v>
      </c>
      <c r="C8" s="64" t="s">
        <v>92</v>
      </c>
      <c r="D8" s="669"/>
      <c r="E8" s="48"/>
      <c r="F8" s="48"/>
      <c r="G8" s="48"/>
      <c r="H8" s="49"/>
      <c r="I8" s="49"/>
      <c r="J8" s="49"/>
    </row>
    <row r="9" spans="1:11" x14ac:dyDescent="0.3">
      <c r="A9" s="51"/>
      <c r="B9" s="47"/>
      <c r="C9" s="47"/>
      <c r="D9" s="47"/>
      <c r="E9" s="47"/>
      <c r="F9" s="47"/>
      <c r="G9" s="47"/>
    </row>
    <row r="10" spans="1:11" x14ac:dyDescent="0.3">
      <c r="A10" s="59">
        <v>17</v>
      </c>
      <c r="B10" s="60">
        <v>3</v>
      </c>
      <c r="C10" s="60">
        <v>9</v>
      </c>
      <c r="D10" s="670" t="s">
        <v>31</v>
      </c>
      <c r="E10" s="47"/>
      <c r="F10" s="47"/>
      <c r="G10" s="47"/>
    </row>
    <row r="11" spans="1:11" x14ac:dyDescent="0.3">
      <c r="A11" s="59" t="s">
        <v>93</v>
      </c>
      <c r="B11" s="60" t="s">
        <v>94</v>
      </c>
      <c r="C11" s="60" t="s">
        <v>95</v>
      </c>
      <c r="D11" s="671"/>
      <c r="E11" s="47"/>
      <c r="F11" s="47"/>
      <c r="G11" s="47"/>
    </row>
    <row r="12" spans="1:11" x14ac:dyDescent="0.3">
      <c r="A12" s="51"/>
      <c r="B12" s="47"/>
      <c r="C12" s="47"/>
      <c r="D12" s="47"/>
      <c r="E12" s="47"/>
      <c r="F12" s="47"/>
      <c r="G12" s="47"/>
    </row>
    <row r="13" spans="1:11" x14ac:dyDescent="0.3">
      <c r="A13" s="57">
        <v>30</v>
      </c>
      <c r="B13" s="58">
        <v>1</v>
      </c>
      <c r="C13" s="58">
        <v>9</v>
      </c>
      <c r="D13" s="672" t="s">
        <v>49</v>
      </c>
      <c r="E13" s="47"/>
      <c r="F13" s="47"/>
      <c r="G13" s="47"/>
    </row>
    <row r="14" spans="1:11" x14ac:dyDescent="0.3">
      <c r="A14" s="57" t="s">
        <v>96</v>
      </c>
      <c r="B14" s="58" t="s">
        <v>97</v>
      </c>
      <c r="C14" s="58" t="s">
        <v>98</v>
      </c>
      <c r="D14" s="673"/>
      <c r="E14" s="47"/>
      <c r="F14" s="47"/>
      <c r="G14" s="47"/>
    </row>
    <row r="15" spans="1:11" x14ac:dyDescent="0.3">
      <c r="A15" s="51"/>
      <c r="B15" s="47"/>
      <c r="C15" s="47"/>
      <c r="D15" s="47"/>
      <c r="E15" s="47"/>
      <c r="F15" s="47"/>
      <c r="G15" s="47"/>
    </row>
    <row r="16" spans="1:11" x14ac:dyDescent="0.3">
      <c r="A16" s="55">
        <v>8</v>
      </c>
      <c r="B16" s="56">
        <v>0</v>
      </c>
      <c r="C16" s="56">
        <v>9</v>
      </c>
      <c r="D16" s="662" t="s">
        <v>83</v>
      </c>
      <c r="E16" s="47"/>
      <c r="F16" s="47"/>
      <c r="G16" s="47"/>
    </row>
    <row r="17" spans="1:4" x14ac:dyDescent="0.3">
      <c r="A17" s="55" t="s">
        <v>99</v>
      </c>
      <c r="B17" s="56" t="s">
        <v>100</v>
      </c>
      <c r="C17" s="56" t="s">
        <v>101</v>
      </c>
      <c r="D17" s="663"/>
    </row>
    <row r="18" spans="1:4" x14ac:dyDescent="0.3">
      <c r="A18" s="51"/>
    </row>
    <row r="19" spans="1:4" x14ac:dyDescent="0.3">
      <c r="A19" s="51"/>
    </row>
    <row r="20" spans="1:4" x14ac:dyDescent="0.3">
      <c r="A20" s="51"/>
    </row>
    <row r="21" spans="1:4" x14ac:dyDescent="0.3">
      <c r="A21" s="51"/>
    </row>
    <row r="22" spans="1:4" x14ac:dyDescent="0.3">
      <c r="A22" s="51"/>
    </row>
    <row r="23" spans="1:4" x14ac:dyDescent="0.3">
      <c r="A23" s="51"/>
    </row>
    <row r="24" spans="1:4" x14ac:dyDescent="0.3">
      <c r="A24" s="51"/>
    </row>
    <row r="25" spans="1:4" x14ac:dyDescent="0.3">
      <c r="A25" s="51"/>
    </row>
    <row r="26" spans="1:4" x14ac:dyDescent="0.3">
      <c r="A26" s="51"/>
    </row>
    <row r="27" spans="1:4" x14ac:dyDescent="0.3">
      <c r="A27" s="51"/>
    </row>
    <row r="28" spans="1:4" x14ac:dyDescent="0.3">
      <c r="A28" s="51"/>
    </row>
    <row r="29" spans="1:4" x14ac:dyDescent="0.3">
      <c r="A29" s="51"/>
    </row>
    <row r="30" spans="1:4" x14ac:dyDescent="0.3">
      <c r="A30" s="51"/>
    </row>
    <row r="31" spans="1:4" x14ac:dyDescent="0.3">
      <c r="A31" s="51"/>
    </row>
    <row r="32" spans="1:4" x14ac:dyDescent="0.3">
      <c r="A32" s="51"/>
    </row>
    <row r="33" spans="1:1" x14ac:dyDescent="0.3">
      <c r="A33" s="51"/>
    </row>
    <row r="34" spans="1:1" x14ac:dyDescent="0.3">
      <c r="A34" s="51"/>
    </row>
    <row r="35" spans="1:1" x14ac:dyDescent="0.3">
      <c r="A35" s="51"/>
    </row>
    <row r="36" spans="1:1" x14ac:dyDescent="0.3">
      <c r="A36" s="51"/>
    </row>
    <row r="37" spans="1:1" x14ac:dyDescent="0.3">
      <c r="A37" s="51"/>
    </row>
    <row r="38" spans="1:1" x14ac:dyDescent="0.3">
      <c r="A38" s="51"/>
    </row>
    <row r="39" spans="1:1" x14ac:dyDescent="0.3">
      <c r="A39" s="51"/>
    </row>
    <row r="40" spans="1:1" x14ac:dyDescent="0.3">
      <c r="A40" s="51"/>
    </row>
    <row r="41" spans="1:1" x14ac:dyDescent="0.3">
      <c r="A41" s="51"/>
    </row>
    <row r="42" spans="1:1" x14ac:dyDescent="0.3">
      <c r="A42" s="51"/>
    </row>
    <row r="43" spans="1:1" x14ac:dyDescent="0.3">
      <c r="A43" s="51"/>
    </row>
    <row r="44" spans="1:1" x14ac:dyDescent="0.3">
      <c r="A44" s="51"/>
    </row>
    <row r="45" spans="1:1" x14ac:dyDescent="0.3">
      <c r="A45" s="51"/>
    </row>
    <row r="81" spans="1:1" x14ac:dyDescent="0.3">
      <c r="A81" s="53"/>
    </row>
    <row r="82" spans="1:1" x14ac:dyDescent="0.3">
      <c r="A82" s="53"/>
    </row>
    <row r="83" spans="1:1" x14ac:dyDescent="0.3">
      <c r="A83" s="54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Владелец</cp:lastModifiedBy>
  <cp:lastPrinted>2019-09-24T06:31:40Z</cp:lastPrinted>
  <dcterms:created xsi:type="dcterms:W3CDTF">2017-01-25T04:28:39Z</dcterms:created>
  <dcterms:modified xsi:type="dcterms:W3CDTF">2024-09-04T10:09:50Z</dcterms:modified>
</cp:coreProperties>
</file>