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Владелец\Downloads\"/>
    </mc:Choice>
  </mc:AlternateContent>
  <workbookProtection workbookPassword="EB34" lockStructure="1"/>
  <bookViews>
    <workbookView xWindow="0" yWindow="0" windowWidth="7476" windowHeight="2232" tabRatio="603" firstSheet="3" activeTab="5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62913"/>
</workbook>
</file>

<file path=xl/calcChain.xml><?xml version="1.0" encoding="utf-8"?>
<calcChain xmlns="http://schemas.openxmlformats.org/spreadsheetml/2006/main">
  <c r="G2" i="22" l="1"/>
  <c r="Q2" i="22"/>
  <c r="V2" i="22"/>
  <c r="AB2" i="22"/>
  <c r="G2" i="17"/>
  <c r="Q2" i="17"/>
  <c r="V2" i="17"/>
  <c r="AB2" i="17"/>
  <c r="G2" i="19"/>
  <c r="N2" i="19"/>
  <c r="T2" i="19"/>
  <c r="H2" i="31" l="1"/>
  <c r="P2" i="31"/>
  <c r="V2" i="31"/>
  <c r="H2" i="27"/>
  <c r="P2" i="27"/>
  <c r="V2" i="27"/>
  <c r="G2" i="20" l="1"/>
  <c r="Q2" i="20"/>
  <c r="V2" i="20"/>
  <c r="AB2" i="20"/>
  <c r="I279" i="31" l="1"/>
  <c r="I277" i="31"/>
  <c r="I297" i="31"/>
  <c r="I144" i="31"/>
  <c r="I11" i="31"/>
  <c r="I97" i="27"/>
  <c r="H9" i="19"/>
  <c r="I222" i="31"/>
  <c r="I49" i="27"/>
  <c r="I9" i="27"/>
  <c r="H19" i="17"/>
  <c r="R19" i="17"/>
  <c r="I227" i="31"/>
  <c r="I264" i="31"/>
  <c r="I20" i="27"/>
  <c r="I62" i="31"/>
  <c r="I82" i="31"/>
  <c r="I69" i="31"/>
  <c r="I105" i="27"/>
  <c r="I271" i="31"/>
  <c r="I116" i="27" l="1"/>
  <c r="I115" i="27"/>
  <c r="I304" i="31" l="1"/>
  <c r="I303" i="31"/>
  <c r="I114" i="27"/>
  <c r="I113" i="27"/>
  <c r="I112" i="27"/>
  <c r="I296" i="31" l="1"/>
  <c r="I111" i="27"/>
  <c r="I110" i="27"/>
  <c r="H15" i="17" l="1"/>
  <c r="R15" i="17"/>
  <c r="I109" i="27"/>
  <c r="I108" i="27"/>
  <c r="I236" i="31"/>
  <c r="H31" i="22"/>
  <c r="R31" i="22"/>
  <c r="I100" i="27"/>
  <c r="I107" i="27" l="1"/>
  <c r="I295" i="31"/>
  <c r="I50" i="31"/>
  <c r="I276" i="31" l="1"/>
  <c r="I23" i="31" l="1"/>
  <c r="I104" i="27" l="1"/>
  <c r="I103" i="27"/>
  <c r="I258" i="31" l="1"/>
  <c r="I46" i="27" l="1"/>
  <c r="I262" i="31"/>
  <c r="I99" i="27" l="1"/>
  <c r="I270" i="31" l="1"/>
  <c r="I269" i="31" l="1"/>
  <c r="I268" i="31"/>
  <c r="I267" i="31"/>
  <c r="I96" i="27" l="1"/>
  <c r="I148" i="31" l="1"/>
  <c r="I138" i="31"/>
  <c r="I95" i="27" l="1"/>
  <c r="I261" i="31"/>
  <c r="I94" i="27"/>
  <c r="I260" i="31"/>
  <c r="I93" i="27"/>
  <c r="I226" i="31"/>
  <c r="I92" i="27" l="1"/>
  <c r="I91" i="27" l="1"/>
  <c r="I90" i="27"/>
  <c r="I89" i="27"/>
  <c r="I221" i="31"/>
  <c r="I88" i="27"/>
  <c r="I87" i="27"/>
  <c r="I86" i="27" l="1"/>
  <c r="I80" i="27"/>
  <c r="I216" i="31"/>
  <c r="I78" i="27"/>
  <c r="I81" i="31"/>
  <c r="H9" i="17"/>
  <c r="R9" i="17"/>
  <c r="I220" i="31" l="1"/>
  <c r="I219" i="31"/>
  <c r="I85" i="27"/>
  <c r="I84" i="27" l="1"/>
  <c r="I83" i="27"/>
  <c r="I82" i="27"/>
  <c r="I170" i="31" l="1"/>
  <c r="I174" i="31"/>
  <c r="I178" i="31"/>
  <c r="I194" i="31"/>
  <c r="H15" i="19"/>
  <c r="I64" i="27"/>
  <c r="I68" i="27"/>
  <c r="I77" i="27" l="1"/>
  <c r="I76" i="27" l="1"/>
  <c r="I75" i="27" l="1"/>
  <c r="I74" i="27" l="1"/>
  <c r="I73" i="27" l="1"/>
  <c r="I72" i="27"/>
  <c r="I215" i="31"/>
  <c r="I214" i="31"/>
  <c r="I213" i="31"/>
  <c r="I125" i="31" l="1"/>
  <c r="I94" i="31"/>
  <c r="I119" i="31"/>
  <c r="I131" i="31"/>
  <c r="H9" i="22"/>
  <c r="R9" i="22"/>
  <c r="I71" i="27" l="1"/>
  <c r="I70" i="27"/>
  <c r="I63" i="27" l="1"/>
  <c r="I62" i="27"/>
  <c r="I169" i="31" l="1"/>
  <c r="I61" i="27" l="1"/>
  <c r="I168" i="31" l="1"/>
  <c r="I167" i="31"/>
  <c r="I60" i="27"/>
  <c r="I59" i="27"/>
  <c r="I166" i="31"/>
  <c r="I58" i="27"/>
  <c r="I57" i="27"/>
  <c r="I9" i="31" l="1"/>
  <c r="I45" i="27" l="1"/>
  <c r="I44" i="27"/>
  <c r="I43" i="27"/>
  <c r="I137" i="31" l="1"/>
  <c r="I42" i="27"/>
  <c r="I41" i="27"/>
  <c r="I40" i="27"/>
  <c r="I39" i="27"/>
  <c r="I38" i="27"/>
  <c r="D13" i="21" l="1"/>
  <c r="R8" i="20" l="1"/>
  <c r="H8" i="20"/>
  <c r="R8" i="22"/>
  <c r="H8" i="22"/>
  <c r="I8" i="27" l="1"/>
  <c r="J9" i="21" l="1"/>
  <c r="J13" i="21"/>
  <c r="G13" i="21" l="1"/>
  <c r="J14" i="21"/>
  <c r="D14" i="21"/>
  <c r="D12" i="21"/>
  <c r="J12" i="21"/>
  <c r="D19" i="21"/>
  <c r="G14" i="21" l="1"/>
  <c r="M14" i="21" s="1"/>
  <c r="G12" i="21"/>
  <c r="H5" i="21" s="1"/>
  <c r="M13" i="21"/>
  <c r="J11" i="21"/>
  <c r="J10" i="21"/>
  <c r="J15" i="21" l="1"/>
  <c r="D10" i="21"/>
  <c r="R8" i="17" l="1"/>
  <c r="H8" i="17"/>
  <c r="D9" i="21" l="1"/>
  <c r="G10" i="21" l="1"/>
  <c r="G11" i="21" l="1"/>
  <c r="D11" i="21"/>
  <c r="D15" i="21" s="1"/>
  <c r="G9" i="21"/>
  <c r="M5" i="21" s="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<sst xmlns="http://schemas.openxmlformats.org/spreadsheetml/2006/main" count="1469" uniqueCount="440">
  <si>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</si>
  <si>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</si>
  <si>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</si>
  <si>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</si>
  <si>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</si>
  <si>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</si>
  <si>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</si>
  <si>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</si>
  <si>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</si>
  <si>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</si>
  <si>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</si>
  <si>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</si>
  <si>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</si>
  <si>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</si>
  <si>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</si>
  <si>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</si>
  <si>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</si>
  <si>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</si>
  <si>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</si>
  <si>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</si>
  <si>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</si>
  <si>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</si>
  <si>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</si>
  <si>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</si>
  <si>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</si>
  <si>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</si>
  <si>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</si>
  <si>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</si>
  <si>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</si>
  <si>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</si>
  <si>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</si>
  <si>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</si>
  <si>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</si>
  <si>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</si>
  <si>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</si>
  <si>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</si>
  <si>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</si>
  <si>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</si>
  <si>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</si>
  <si>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</si>
  <si>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</si>
  <si>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</si>
  <si>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</si>
  <si>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</si>
  <si>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</si>
  <si>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</si>
  <si>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</si>
  <si>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</si>
  <si>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</si>
  <si>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</si>
  <si>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</si>
  <si>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</si>
  <si>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</si>
  <si>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</si>
  <si>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</si>
  <si>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</si>
  <si>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</si>
  <si>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</si>
  <si>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</si>
  <si>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</si>
  <si>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</si>
  <si>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</si>
  <si>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</si>
  <si>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</si>
  <si>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</si>
  <si>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</si>
  <si>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</si>
  <si>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</si>
  <si>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</si>
  <si>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</si>
  <si>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</si>
  <si>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</si>
  <si>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</si>
  <si>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</si>
  <si>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</si>
  <si>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</si>
  <si>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</si>
  <si>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</si>
  <si>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</si>
  <si>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</si>
  <si>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</si>
  <si>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</si>
  <si>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</si>
  <si>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</si>
  <si>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</si>
  <si>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</si>
  <si>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</si>
  <si>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</si>
  <si>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</si>
  <si>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</si>
  <si>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</si>
  <si>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</si>
  <si>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</si>
  <si>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</si>
  <si>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</si>
  <si>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</si>
  <si>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</si>
  <si>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</si>
  <si>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</si>
  <si>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</si>
  <si>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</si>
  <si>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</si>
  <si>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</si>
  <si>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</si>
  <si>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</si>
  <si>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</si>
  <si>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</si>
  <si>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</si>
  <si>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</si>
  <si>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</si>
  <si>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</si>
  <si>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</si>
  <si>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</si>
  <si>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</si>
  <si>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</si>
  <si>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</si>
  <si>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</si>
  <si>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</si>
  <si>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</si>
  <si>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</si>
  <si>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</si>
  <si>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</si>
  <si>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</si>
  <si>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</si>
  <si>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</si>
  <si>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</si>
  <si>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</si>
  <si>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</si>
  <si>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</si>
  <si>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</si>
  <si>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</si>
  <si>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</si>
  <si>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</si>
  <si>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</si>
  <si>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</si>
  <si>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</si>
  <si>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</si>
  <si>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</si>
  <si>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</si>
  <si>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</si>
  <si>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</si>
  <si>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</si>
  <si>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</si>
  <si>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</si>
  <si>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</si>
  <si>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</si>
  <si>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нет</t>
  </si>
  <si>
    <t>925 0000 0000000000 244</t>
  </si>
  <si>
    <t>Оказание услуг по обращению с твердыми коммунальными отходами</t>
  </si>
  <si>
    <t>ПАО "ТНС энерго Кубань"</t>
  </si>
  <si>
    <t>ООО "Коммунальник"</t>
  </si>
  <si>
    <t>до 25 числа</t>
  </si>
  <si>
    <t>1401</t>
  </si>
  <si>
    <t>Поставка тепловой энергии</t>
  </si>
  <si>
    <t>АО "АТЭК"</t>
  </si>
  <si>
    <t>Согласно графика</t>
  </si>
  <si>
    <t>ООО "Тимашевское ПРТ Райпо"</t>
  </si>
  <si>
    <t>ООО "КАНкорт"</t>
  </si>
  <si>
    <t>ИП Дудкин</t>
  </si>
  <si>
    <t>235305769122</t>
  </si>
  <si>
    <t>ИП Барма</t>
  </si>
  <si>
    <t>ПАО "Ростелеком"</t>
  </si>
  <si>
    <t>АО "Мусороуборочная компания"</t>
  </si>
  <si>
    <t>да</t>
  </si>
  <si>
    <t>Поставка бензина Аи-92</t>
  </si>
  <si>
    <t>В течение 7 рабочих дней с момента подписания Заказчиком и Подрядчиком акта приема-сдачи и предоставленного Подрядчиком документа на оплату</t>
  </si>
  <si>
    <t>Холодное водоснабжение</t>
  </si>
  <si>
    <t>До 25 числа каждого месяца</t>
  </si>
  <si>
    <t>Электроэнергия</t>
  </si>
  <si>
    <t>30 % до 10 числа, 40 % до 25 числа</t>
  </si>
  <si>
    <t>До 10 числа месяца, следующего за отчетным</t>
  </si>
  <si>
    <t>925 0000 0000000000 247</t>
  </si>
  <si>
    <t>23070500203</t>
  </si>
  <si>
    <t>20456/ТМ</t>
  </si>
  <si>
    <t>Централизованная охрана объекта (ктс)</t>
  </si>
  <si>
    <t>2310163739</t>
  </si>
  <si>
    <t>ФГКУ "УВО ВНГ России по Краснодарскому краю" ОВО по Тимашевскому району</t>
  </si>
  <si>
    <t>925 0000 0000000000244</t>
  </si>
  <si>
    <t>925  0000 0000000000 244</t>
  </si>
  <si>
    <t>Оказание услуг связи</t>
  </si>
  <si>
    <t>7707049388</t>
  </si>
  <si>
    <t>поставка товара</t>
  </si>
  <si>
    <t>23 32353014097235301001 0016 001 5629 244</t>
  </si>
  <si>
    <t>0818300019923000370</t>
  </si>
  <si>
    <t>Оказание услуг питания детей</t>
  </si>
  <si>
    <t>32353014097 23 000006</t>
  </si>
  <si>
    <t>2353020735</t>
  </si>
  <si>
    <t>ООО "Тимашевское ПРТ райпо"</t>
  </si>
  <si>
    <t>23 32353014097235301001 0017 002 8010 244</t>
  </si>
  <si>
    <t>0818300019923000374</t>
  </si>
  <si>
    <t>Услуги частной охраны (Выставление поста охраны)</t>
  </si>
  <si>
    <t>3235301409723000007</t>
  </si>
  <si>
    <t>Общество с ограниченной ответственностью Частная охранная организация "Легион"</t>
  </si>
  <si>
    <t>ООО "КТК"</t>
  </si>
  <si>
    <t>В течение 10 рабочих дней с момента подписания Заказчиком и Подрядчиком акта приема-сдачи и предоставленного Подрядчиком документа на оплату</t>
  </si>
  <si>
    <t>ДГ24/68</t>
  </si>
  <si>
    <t>сопровождение системы ГЛОНАСС</t>
  </si>
  <si>
    <t>сервисное обслуживание теплосчетчиков</t>
  </si>
  <si>
    <t>то систем АПС</t>
  </si>
  <si>
    <t>ИП Даценко</t>
  </si>
  <si>
    <t>Стрелец-мониторинг</t>
  </si>
  <si>
    <t>оказание услуг по организации питания инвалидов, ОВЗ</t>
  </si>
  <si>
    <t>оказание услуг по организации питания 9/10,40</t>
  </si>
  <si>
    <t>33/24</t>
  </si>
  <si>
    <t>Предоставление охраняемой автостоянки, предрейсовому и послерейсовому то автотранспортв и медицинскому освидетельствованию водителей.</t>
  </si>
  <si>
    <t>оказание услуг по организации горячегопитания СВО</t>
  </si>
  <si>
    <t>23-01/2024-1</t>
  </si>
  <si>
    <t>ремонт автобуса</t>
  </si>
  <si>
    <t>235303782209</t>
  </si>
  <si>
    <t>ИП Пастухов</t>
  </si>
  <si>
    <t>шиномонтаж</t>
  </si>
  <si>
    <t>25-01/2024</t>
  </si>
  <si>
    <t>заправка картриджа и ремонт оргтехники</t>
  </si>
  <si>
    <t>231107998282</t>
  </si>
  <si>
    <t>23303348389</t>
  </si>
  <si>
    <t>ИП Тарануха</t>
  </si>
  <si>
    <t>Ремонт автобуса</t>
  </si>
  <si>
    <t>Образовательные услуги</t>
  </si>
  <si>
    <t>2310980339</t>
  </si>
  <si>
    <t>НЧОУ ДПО "Учебный центр "Персонал-Ресурс"</t>
  </si>
  <si>
    <t>925 0000 00000000000 244</t>
  </si>
  <si>
    <t>2024.065486</t>
  </si>
  <si>
    <t>ДГ24/238</t>
  </si>
  <si>
    <t>техническое сопровождение транспортного средства</t>
  </si>
  <si>
    <t>2369000660</t>
  </si>
  <si>
    <t>Поставка бензина АИ-92</t>
  </si>
  <si>
    <t>ООО "Альянс Розница"</t>
  </si>
  <si>
    <t>9/24</t>
  </si>
  <si>
    <t>дезинфекция</t>
  </si>
  <si>
    <t>ООО "Дезинфекция"</t>
  </si>
  <si>
    <t>80/24</t>
  </si>
  <si>
    <t>Услуги по идентификации АСН в ГАИС "ЭРА-ГЛОНАСС"</t>
  </si>
  <si>
    <t>7703383783</t>
  </si>
  <si>
    <t>АО "ГЛОНАСС"</t>
  </si>
  <si>
    <t>В течение7 рабочих дней с момента подписания Заказчиком и Подрадчиком акта приема-сдачи и предоставленного Подрядчиком документа на оплату</t>
  </si>
  <si>
    <t>2024.075027</t>
  </si>
  <si>
    <t>Панель светодиодная универсальная</t>
  </si>
  <si>
    <t>235002152355</t>
  </si>
  <si>
    <t>ИП Латышев</t>
  </si>
  <si>
    <t>А0099351</t>
  </si>
  <si>
    <t>Поставка учебной литературы</t>
  </si>
  <si>
    <t>АО "Издательство "Просвещение"</t>
  </si>
  <si>
    <t>до 30 июля 2024</t>
  </si>
  <si>
    <t>Поставка товара</t>
  </si>
  <si>
    <t>32</t>
  </si>
  <si>
    <t>2353018870</t>
  </si>
  <si>
    <t>оказание услуг по ремонту блока питания ПАК "Стрелец-Мониторинг"</t>
  </si>
  <si>
    <t>Дезинфекция лагерь</t>
  </si>
  <si>
    <t>6-24-2</t>
  </si>
  <si>
    <t>63-ЭО</t>
  </si>
  <si>
    <t>Отчетность по экологии</t>
  </si>
  <si>
    <t>235306110100</t>
  </si>
  <si>
    <t>ИП Казерова</t>
  </si>
  <si>
    <t>А0119133</t>
  </si>
  <si>
    <t>А0119134</t>
  </si>
  <si>
    <t>до 30.07.2024</t>
  </si>
  <si>
    <t>ООО "СпецБланк-Москва"</t>
  </si>
  <si>
    <t>7706526550</t>
  </si>
  <si>
    <t>аттестаты</t>
  </si>
  <si>
    <t>23-11470</t>
  </si>
  <si>
    <t>ИП Аполонов</t>
  </si>
  <si>
    <t>МБОУ СОШ № 6</t>
  </si>
  <si>
    <t>Поставка учебно-педагогической документации</t>
  </si>
  <si>
    <t>2310132554</t>
  </si>
  <si>
    <t>ООО "Краснодарский учколлектор"</t>
  </si>
  <si>
    <t>оказание услуг по организации питания учащихся</t>
  </si>
  <si>
    <t>К108911/24</t>
  </si>
  <si>
    <t>Предоставление права использования и абонентское обслуживание Системы "Контур.Экстерн"</t>
  </si>
  <si>
    <t>6663003127</t>
  </si>
  <si>
    <t>АО "ПФ "СКБ Контур"</t>
  </si>
  <si>
    <t>06/ПДУ/СМЭВ/5808</t>
  </si>
  <si>
    <t>Передача неисключительного права ПО</t>
  </si>
  <si>
    <t>2308065195</t>
  </si>
  <si>
    <t>ГУП КК "ЦИТ"</t>
  </si>
  <si>
    <t xml:space="preserve">30 % предоплата в течение 7 рабочих дней с даты выставления счета, 70 % в течение 7 рабочих дней с даты подписания акта. </t>
  </si>
  <si>
    <t>Предоставление сертификата</t>
  </si>
  <si>
    <t>06/СМЭВ/5807</t>
  </si>
  <si>
    <t>22-04/2024-1</t>
  </si>
  <si>
    <t>16-04/2024</t>
  </si>
  <si>
    <t>1 от 05.04.2024</t>
  </si>
  <si>
    <t>95</t>
  </si>
  <si>
    <t>Ванна моечная</t>
  </si>
  <si>
    <t>Бойлер накопительный электрический</t>
  </si>
  <si>
    <t>94</t>
  </si>
  <si>
    <t>140-ТО</t>
  </si>
  <si>
    <t>техосмотр автобуса</t>
  </si>
  <si>
    <t>06-05/2024-1</t>
  </si>
  <si>
    <t>5278/212</t>
  </si>
  <si>
    <t>подписка периодическрй печати</t>
  </si>
  <si>
    <t>7724490000</t>
  </si>
  <si>
    <t>АО "Почта России"</t>
  </si>
  <si>
    <t>20-05/2024</t>
  </si>
  <si>
    <t>АТ00-037556</t>
  </si>
  <si>
    <t>Право на использование программного обеспечения</t>
  </si>
  <si>
    <t>2311187588</t>
  </si>
  <si>
    <t>ООО "АйТи Мониторинг"</t>
  </si>
  <si>
    <t>02/05/24</t>
  </si>
  <si>
    <t>баннеры</t>
  </si>
  <si>
    <t>235303800426</t>
  </si>
  <si>
    <t>ИП Шашанков</t>
  </si>
  <si>
    <t>27-05/2024</t>
  </si>
  <si>
    <t>2024/6</t>
  </si>
  <si>
    <t>питание лагерь</t>
  </si>
  <si>
    <t>ИП Осипов</t>
  </si>
  <si>
    <t>621502803108</t>
  </si>
  <si>
    <t>хозтовары</t>
  </si>
  <si>
    <t>45</t>
  </si>
  <si>
    <t>1/2024/8</t>
  </si>
  <si>
    <t>экскурсии</t>
  </si>
  <si>
    <t>2310052884</t>
  </si>
  <si>
    <t>ГБУК КК "КГИАМЗ"</t>
  </si>
  <si>
    <t>0818300019924000189</t>
  </si>
  <si>
    <t>3235301409724000004</t>
  </si>
  <si>
    <t>24 32353014097235301001 0011 001 8010 244</t>
  </si>
  <si>
    <t>0818300019924000189-6</t>
  </si>
  <si>
    <t xml:space="preserve"> 0818300019924000193</t>
  </si>
  <si>
    <t xml:space="preserve"> 243235301409723530100100120015629244</t>
  </si>
  <si>
    <t xml:space="preserve"> Оказание услуги по организации питания учащихся муниципальных бюджетных общеобразовательных учреждений средних общеобразовательных школ муниципального образования Тимашевский район.</t>
  </si>
  <si>
    <t>32353014097 24 000005</t>
  </si>
  <si>
    <t>ОБЩЕСТВО С ОГРАНИЧЕННОЙ ОТВЕТСТВЕННОСТЬЮ "ТИМАШЕВСКОЕ ПРЕДПРИЯТИЕ РОЗНИЧНОЙ ТОРГОВЛИ РАЙПО"</t>
  </si>
  <si>
    <t xml:space="preserve"> 05.06.2024</t>
  </si>
  <si>
    <t>2024/1</t>
  </si>
  <si>
    <t>Установка перегородок</t>
  </si>
  <si>
    <t>2353021249</t>
  </si>
  <si>
    <t>ООО "Ремстройэнерго"</t>
  </si>
  <si>
    <t>2024/3</t>
  </si>
  <si>
    <t>Замена дверей на 2 этаже</t>
  </si>
  <si>
    <t>2024/2</t>
  </si>
  <si>
    <t>Замена дверей на 1 этаже</t>
  </si>
  <si>
    <t>Испытание и измерение электроустановок и электрооборудования</t>
  </si>
  <si>
    <t>034-ПН-24</t>
  </si>
  <si>
    <t>235302001163</t>
  </si>
  <si>
    <t>ИП Ромчук</t>
  </si>
  <si>
    <t>196</t>
  </si>
  <si>
    <t>199</t>
  </si>
  <si>
    <t>6-2024</t>
  </si>
  <si>
    <t>мебель</t>
  </si>
  <si>
    <t>235306300848</t>
  </si>
  <si>
    <t>Самозанятый гражданин Егорова В.П.</t>
  </si>
  <si>
    <t>Оказание экскурсионных услуг</t>
  </si>
  <si>
    <t>2353016418</t>
  </si>
  <si>
    <t>Приход храма</t>
  </si>
  <si>
    <t>545</t>
  </si>
  <si>
    <t>Лабораторные исследования воды</t>
  </si>
  <si>
    <t>2308105200</t>
  </si>
  <si>
    <t>Тимашевский филиал ФБУЗ "Центр гигиены и эпидемиологии в Краснодарском крае"</t>
  </si>
  <si>
    <t>бн</t>
  </si>
  <si>
    <t>Поверка приборов учета тепловой энергии</t>
  </si>
  <si>
    <t>6/2024</t>
  </si>
  <si>
    <t>то кнопки тревожной сигнализации</t>
  </si>
  <si>
    <t>Страхование гражданской ответственности</t>
  </si>
  <si>
    <t>7710026574</t>
  </si>
  <si>
    <t>Страховое акционерное общество "ВСК"</t>
  </si>
  <si>
    <t>самозанятый гражданин Егорова В.П.</t>
  </si>
  <si>
    <t>за мебель</t>
  </si>
  <si>
    <t>6/1-2024</t>
  </si>
  <si>
    <t>46</t>
  </si>
  <si>
    <t>за заборные секции</t>
  </si>
  <si>
    <t>234900743508</t>
  </si>
  <si>
    <t>ИП Трухляк</t>
  </si>
  <si>
    <t>30/Т</t>
  </si>
  <si>
    <t>За промывку и опрессовку системы центрального отопления</t>
  </si>
  <si>
    <t>2312314060</t>
  </si>
  <si>
    <t>ООО "Теплосервис"</t>
  </si>
  <si>
    <t>621</t>
  </si>
  <si>
    <t>ИП Музуров</t>
  </si>
  <si>
    <t>226/24</t>
  </si>
  <si>
    <t>514635947</t>
  </si>
  <si>
    <t>Неисключительные права использования баз данных</t>
  </si>
  <si>
    <t>7713754243</t>
  </si>
  <si>
    <t>ООО "М-пресс"</t>
  </si>
  <si>
    <t>Оказание услуг по организации питания</t>
  </si>
  <si>
    <t>624</t>
  </si>
  <si>
    <t>Ремонт перегородок</t>
  </si>
  <si>
    <t>278</t>
  </si>
  <si>
    <t>6/3-2024</t>
  </si>
  <si>
    <t>Поставка мебели</t>
  </si>
  <si>
    <t>93</t>
  </si>
  <si>
    <t>Охрана</t>
  </si>
  <si>
    <t>ООО ЧОО "Легион"</t>
  </si>
  <si>
    <t>714</t>
  </si>
  <si>
    <t>канцтовары</t>
  </si>
  <si>
    <t>233003348389</t>
  </si>
  <si>
    <t>2024.305376</t>
  </si>
  <si>
    <t>ДГ24/510</t>
  </si>
  <si>
    <t>151-1/24</t>
  </si>
  <si>
    <t>151/24</t>
  </si>
  <si>
    <t>медосмотр</t>
  </si>
  <si>
    <t>ГБУЗ "Тимашевская центральная районная больница"</t>
  </si>
  <si>
    <t>302</t>
  </si>
  <si>
    <t>243235301409723530100100130018010244</t>
  </si>
  <si>
    <t>0818300019924000262</t>
  </si>
  <si>
    <t xml:space="preserve"> Услуги частной охраны (Выставление поста охраны)</t>
  </si>
  <si>
    <t xml:space="preserve"> 32353014097 24 000006</t>
  </si>
  <si>
    <t xml:space="preserve"> 0818300019924000262</t>
  </si>
  <si>
    <t>2304067057</t>
  </si>
  <si>
    <t>ООО "ИДПО"</t>
  </si>
  <si>
    <t>2308279278</t>
  </si>
  <si>
    <t>565/2024</t>
  </si>
  <si>
    <t>292</t>
  </si>
  <si>
    <t>293</t>
  </si>
  <si>
    <t>51</t>
  </si>
  <si>
    <t>Автошины</t>
  </si>
  <si>
    <t>1/2024/28</t>
  </si>
  <si>
    <t>услуги по публичному показу музейных предметов</t>
  </si>
  <si>
    <t xml:space="preserve">30 % предоплата в течение 5 рабочих дней с даты получения счета, 70 % в течение 5 рабочих дней с даты подписания акта. </t>
  </si>
  <si>
    <t>Поставка электроэнергии</t>
  </si>
  <si>
    <t>то автобуса</t>
  </si>
  <si>
    <t>297-то</t>
  </si>
  <si>
    <t>бн от 16.10.2024</t>
  </si>
  <si>
    <t>оказание услуг по организации питания</t>
  </si>
  <si>
    <t>бн от 17.11.2024</t>
  </si>
  <si>
    <t>2617</t>
  </si>
  <si>
    <t>Неисключительные права использования программы для ЭВМ</t>
  </si>
  <si>
    <t>234602203000</t>
  </si>
  <si>
    <t>ИП Архангельский</t>
  </si>
  <si>
    <t>5510/212</t>
  </si>
  <si>
    <t xml:space="preserve">охрана </t>
  </si>
  <si>
    <t>112</t>
  </si>
  <si>
    <t>31</t>
  </si>
  <si>
    <t>огнетушитель</t>
  </si>
  <si>
    <t>235304202316</t>
  </si>
  <si>
    <t>перезарядка порошковых огнетушителей</t>
  </si>
  <si>
    <t>354</t>
  </si>
  <si>
    <t>бн от 20.11.2024</t>
  </si>
  <si>
    <t>6/4-2024</t>
  </si>
  <si>
    <t>ООО "Карьера"</t>
  </si>
  <si>
    <t>2310136750</t>
  </si>
  <si>
    <t>спецоценка</t>
  </si>
  <si>
    <t>2462/2024</t>
  </si>
  <si>
    <t>42</t>
  </si>
  <si>
    <t>бумага</t>
  </si>
  <si>
    <t>АКБ аккумуляторная батарея</t>
  </si>
  <si>
    <t>44</t>
  </si>
  <si>
    <t>43</t>
  </si>
  <si>
    <t>заправка картриджа</t>
  </si>
  <si>
    <t>ИП Коваленко</t>
  </si>
  <si>
    <t>235300809163</t>
  </si>
  <si>
    <t xml:space="preserve"> ремонт оргтехники</t>
  </si>
  <si>
    <t>бн от 13.12.2024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</si>
</sst>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109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7" fontId="1" fillId="0" borderId="0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18" borderId="0" xfId="0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49" fontId="1" fillId="4" borderId="0" xfId="0" applyNumberFormat="1" applyFont="1" applyFill="1" applyBorder="1" applyAlignment="1">
      <alignment horizontal="center" vertical="center" wrapText="1"/>
    </xf>
    <xf numFmtId="49" fontId="1" fillId="4" borderId="0" xfId="0" applyNumberFormat="1" applyFont="1" applyFill="1" applyAlignment="1">
      <alignment horizontal="center" vertical="center" wrapText="1"/>
    </xf>
    <xf numFmtId="49" fontId="1" fillId="18" borderId="20" xfId="0" applyNumberFormat="1" applyFont="1" applyFill="1" applyBorder="1" applyAlignment="1">
      <alignment horizontal="center" vertical="center" wrapText="1"/>
    </xf>
    <xf numFmtId="49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>
      <alignment horizontal="center" vertical="center" wrapText="1"/>
    </xf>
    <xf numFmtId="16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0" xfId="0" applyFont="1" applyFill="1" applyBorder="1" applyAlignment="1" applyProtection="1">
      <alignment horizontal="center" vertical="center" wrapText="1"/>
      <protection locked="0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>
      <alignment horizontal="center" vertical="center" wrapText="1"/>
    </xf>
    <xf numFmtId="4" fontId="1" fillId="18" borderId="22" xfId="0" applyNumberFormat="1" applyFont="1" applyFill="1" applyBorder="1" applyAlignment="1">
      <alignment horizontal="center" vertical="center" wrapText="1"/>
    </xf>
    <xf numFmtId="49" fontId="1" fillId="18" borderId="24" xfId="0" applyNumberFormat="1" applyFont="1" applyFill="1" applyBorder="1" applyAlignment="1">
      <alignment horizontal="center" vertical="center" wrapText="1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>
      <alignment horizontal="center" vertical="center" wrapText="1"/>
    </xf>
    <xf numFmtId="0" fontId="1" fillId="18" borderId="24" xfId="0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3" xfId="0" applyNumberFormat="1" applyFont="1" applyFill="1" applyBorder="1" applyAlignment="1">
      <alignment horizontal="center" vertical="center" wrapText="1"/>
    </xf>
    <xf numFmtId="0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Alignment="1">
      <alignment horizontal="center" vertical="center" wrapText="1"/>
    </xf>
    <xf numFmtId="0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>
      <alignment horizontal="center" vertical="center" wrapText="1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>
      <alignment horizontal="center" vertical="center" wrapText="1"/>
    </xf>
    <xf numFmtId="16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>
      <alignment horizontal="center" vertical="center" wrapText="1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>
      <alignment horizontal="center" vertical="center" wrapText="1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>
      <alignment horizontal="center" vertical="center" wrapText="1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>
      <alignment horizontal="center" vertical="center" wrapText="1"/>
    </xf>
    <xf numFmtId="16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7" xfId="0" applyFont="1" applyFill="1" applyBorder="1" applyAlignment="1" applyProtection="1">
      <alignment horizontal="center" vertical="center" wrapText="1"/>
      <protection locked="0"/>
    </xf>
    <xf numFmtId="0" fontId="1" fillId="18" borderId="27" xfId="0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>
      <alignment horizontal="center" vertical="center" wrapText="1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>
      <alignment horizontal="center" vertical="center" wrapText="1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>
      <alignment horizontal="center" vertical="center" wrapText="1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>
      <alignment horizontal="center" vertical="center" wrapText="1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>
      <alignment horizontal="center" vertical="center" wrapText="1"/>
    </xf>
    <xf numFmtId="4" fontId="1" fillId="18" borderId="42" xfId="0" applyNumberFormat="1" applyFont="1" applyFill="1" applyBorder="1" applyAlignment="1">
      <alignment horizontal="center" vertical="center" wrapText="1"/>
    </xf>
    <xf numFmtId="16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3" xfId="0" applyFont="1" applyFill="1" applyBorder="1" applyAlignment="1" applyProtection="1">
      <alignment horizontal="center" vertical="center" wrapText="1"/>
      <protection locked="0"/>
    </xf>
    <xf numFmtId="49" fontId="1" fillId="18" borderId="44" xfId="0" applyNumberFormat="1" applyFont="1" applyFill="1" applyBorder="1" applyAlignment="1">
      <alignment horizontal="center" vertical="center" wrapText="1"/>
    </xf>
    <xf numFmtId="49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>
      <alignment horizontal="center" vertical="center" wrapText="1"/>
    </xf>
    <xf numFmtId="16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4" xfId="0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>
      <alignment horizontal="center" vertical="center" wrapText="1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>
      <alignment horizontal="center" vertical="center" wrapText="1"/>
    </xf>
    <xf numFmtId="16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5" xfId="0" applyFont="1" applyFill="1" applyBorder="1" applyAlignment="1" applyProtection="1">
      <alignment horizontal="center" vertical="center" wrapText="1"/>
      <protection locked="0"/>
    </xf>
    <xf numFmtId="168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1" fillId="18" borderId="46" xfId="0" applyNumberFormat="1" applyFont="1" applyFill="1" applyBorder="1" applyAlignment="1">
      <alignment horizontal="center" vertical="center" wrapText="1"/>
    </xf>
    <xf numFmtId="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>
      <alignment horizontal="center" vertical="center" wrapText="1"/>
    </xf>
    <xf numFmtId="165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6" xfId="0" applyFont="1" applyFill="1" applyBorder="1" applyAlignment="1" applyProtection="1">
      <alignment horizontal="center" vertical="center" wrapText="1"/>
      <protection locked="0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5" xfId="0" applyFont="1" applyFill="1" applyBorder="1" applyAlignment="1" applyProtection="1">
      <alignment horizontal="center" vertical="center" wrapText="1"/>
      <protection locked="0"/>
    </xf>
    <xf numFmtId="49" fontId="1" fillId="18" borderId="55" xfId="0" applyNumberFormat="1" applyFont="1" applyFill="1" applyBorder="1" applyAlignment="1">
      <alignment horizontal="center" vertical="center" wrapText="1"/>
    </xf>
    <xf numFmtId="49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5" xfId="0" applyNumberFormat="1" applyFont="1" applyFill="1" applyBorder="1" applyAlignment="1">
      <alignment horizontal="center" vertical="center" wrapText="1"/>
    </xf>
    <xf numFmtId="165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5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18" borderId="55" xfId="0" applyFont="1" applyFill="1" applyBorder="1" applyAlignment="1" applyProtection="1">
      <alignment horizontal="center" vertical="center" wrapText="1"/>
      <protection locked="0"/>
    </xf>
    <xf numFmtId="1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8" xfId="0" applyNumberFormat="1" applyFont="1" applyFill="1" applyBorder="1" applyAlignment="1">
      <alignment horizontal="center" vertical="center" wrapText="1"/>
    </xf>
    <xf numFmtId="49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8" xfId="0" applyNumberFormat="1" applyFont="1" applyFill="1" applyBorder="1" applyAlignment="1">
      <alignment horizontal="center" vertical="center" wrapText="1"/>
    </xf>
    <xf numFmtId="4" fontId="1" fillId="0" borderId="5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8" xfId="0" applyFont="1" applyFill="1" applyBorder="1" applyAlignment="1" applyProtection="1">
      <alignment horizontal="center" vertical="center" wrapText="1"/>
      <protection locked="0"/>
    </xf>
    <xf numFmtId="1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9" xfId="0" applyFont="1" applyFill="1" applyBorder="1" applyAlignment="1" applyProtection="1">
      <alignment horizontal="center" vertical="center" wrapText="1"/>
      <protection locked="0"/>
    </xf>
    <xf numFmtId="49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>
      <alignment horizontal="center" vertical="center" wrapText="1"/>
    </xf>
    <xf numFmtId="49" fontId="1" fillId="18" borderId="59" xfId="0" applyNumberFormat="1" applyFont="1" applyFill="1" applyBorder="1" applyAlignment="1">
      <alignment horizontal="center" vertical="center" wrapText="1"/>
    </xf>
    <xf numFmtId="168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3" xfId="0" applyNumberFormat="1" applyFont="1" applyFill="1" applyBorder="1" applyAlignment="1">
      <alignment horizontal="center" vertical="center" wrapText="1"/>
    </xf>
    <xf numFmtId="165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>
      <alignment horizontal="center" vertical="center" wrapText="1"/>
    </xf>
    <xf numFmtId="167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3" xfId="0" applyFont="1" applyFill="1" applyBorder="1" applyAlignment="1" applyProtection="1">
      <alignment horizontal="center" vertical="center" wrapText="1"/>
      <protection locked="0"/>
    </xf>
    <xf numFmtId="1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1" fillId="18" borderId="56" xfId="0" applyNumberFormat="1" applyFont="1" applyFill="1" applyBorder="1" applyAlignment="1">
      <alignment horizontal="center" vertical="center" wrapText="1"/>
    </xf>
    <xf numFmtId="49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6" xfId="0" applyFont="1" applyFill="1" applyBorder="1" applyAlignment="1" applyProtection="1">
      <alignment horizontal="center" vertical="center" wrapText="1"/>
      <protection locked="0"/>
    </xf>
    <xf numFmtId="1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>
      <alignment horizontal="center" vertical="center" wrapText="1"/>
    </xf>
    <xf numFmtId="16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9" xfId="0" applyNumberFormat="1" applyFont="1" applyFill="1" applyBorder="1" applyAlignment="1">
      <alignment horizontal="center" vertical="center" wrapText="1"/>
    </xf>
    <xf numFmtId="49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9" xfId="0" applyNumberFormat="1" applyFont="1" applyFill="1" applyBorder="1" applyAlignment="1">
      <alignment horizontal="center" vertical="center" wrapText="1"/>
    </xf>
    <xf numFmtId="0" fontId="1" fillId="18" borderId="69" xfId="0" applyFont="1" applyFill="1" applyBorder="1" applyAlignment="1" applyProtection="1">
      <alignment horizontal="center" vertical="center" wrapText="1"/>
      <protection locked="0"/>
    </xf>
    <xf numFmtId="165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2" xfId="0" applyNumberFormat="1" applyFont="1" applyFill="1" applyBorder="1" applyAlignment="1">
      <alignment horizontal="center" vertical="center" wrapText="1"/>
    </xf>
    <xf numFmtId="49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>
      <alignment horizontal="center" vertical="center" wrapText="1"/>
    </xf>
    <xf numFmtId="167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2" xfId="0" applyFont="1" applyFill="1" applyBorder="1" applyAlignment="1" applyProtection="1">
      <alignment horizontal="center" vertical="center" wrapText="1"/>
      <protection locked="0"/>
    </xf>
    <xf numFmtId="1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3" xfId="0" applyNumberFormat="1" applyFont="1" applyFill="1" applyBorder="1" applyAlignment="1">
      <alignment horizontal="center" vertical="center" wrapText="1"/>
    </xf>
    <xf numFmtId="49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3" xfId="0" applyNumberFormat="1" applyFont="1" applyFill="1" applyBorder="1" applyAlignment="1">
      <alignment horizontal="center" vertical="center" wrapText="1"/>
    </xf>
    <xf numFmtId="167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3" xfId="0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8" xfId="0" applyNumberFormat="1" applyFont="1" applyFill="1" applyBorder="1" applyAlignment="1">
      <alignment horizontal="center" vertical="center" wrapText="1"/>
    </xf>
    <xf numFmtId="49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8" xfId="0" applyNumberFormat="1" applyFont="1" applyFill="1" applyBorder="1" applyAlignment="1">
      <alignment horizontal="center" vertical="center" wrapText="1"/>
    </xf>
    <xf numFmtId="0" fontId="1" fillId="18" borderId="78" xfId="0" applyFont="1" applyFill="1" applyBorder="1" applyAlignment="1" applyProtection="1">
      <alignment horizontal="center" vertical="center" wrapText="1"/>
      <protection locked="0"/>
    </xf>
    <xf numFmtId="168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0" xfId="0" applyNumberFormat="1" applyFont="1" applyFill="1" applyBorder="1" applyAlignment="1">
      <alignment horizontal="center" vertical="center" wrapText="1"/>
    </xf>
    <xf numFmtId="4" fontId="1" fillId="18" borderId="81" xfId="0" applyNumberFormat="1" applyFont="1" applyFill="1" applyBorder="1" applyAlignment="1">
      <alignment horizontal="center" vertical="center" wrapText="1"/>
    </xf>
    <xf numFmtId="168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2" xfId="0" applyFont="1" applyFill="1" applyBorder="1" applyAlignment="1" applyProtection="1">
      <alignment horizontal="center" vertical="center" wrapText="1"/>
      <protection locked="0"/>
    </xf>
    <xf numFmtId="49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8" xfId="0" applyNumberFormat="1" applyFont="1" applyFill="1" applyBorder="1" applyAlignment="1">
      <alignment horizontal="center" vertical="center" wrapText="1"/>
    </xf>
    <xf numFmtId="4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8" xfId="0" applyNumberFormat="1" applyFont="1" applyFill="1" applyBorder="1" applyAlignment="1">
      <alignment horizontal="center" vertical="center" wrapText="1"/>
    </xf>
    <xf numFmtId="165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8" xfId="0" applyFont="1" applyFill="1" applyBorder="1" applyAlignment="1" applyProtection="1">
      <alignment horizontal="center" vertical="center" wrapText="1"/>
      <protection locked="0"/>
    </xf>
    <xf numFmtId="14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14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9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9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0" xfId="0" applyNumberFormat="1" applyFont="1" applyFill="1" applyAlignment="1">
      <alignment horizontal="center" vertical="center" wrapText="1"/>
    </xf>
    <xf numFmtId="164" fontId="1" fillId="4" borderId="0" xfId="0" applyNumberFormat="1" applyFont="1" applyFill="1" applyAlignment="1">
      <alignment horizontal="center" vertical="center" wrapText="1"/>
    </xf>
    <xf numFmtId="164" fontId="1" fillId="4" borderId="6" xfId="0" applyNumberFormat="1" applyFont="1" applyFill="1" applyBorder="1" applyAlignment="1">
      <alignment horizontal="center" vertical="center" wrapText="1"/>
    </xf>
    <xf numFmtId="164" fontId="1" fillId="4" borderId="0" xfId="0" applyNumberFormat="1" applyFont="1" applyFill="1" applyBorder="1" applyAlignment="1">
      <alignment horizontal="center" vertical="center" wrapText="1"/>
    </xf>
    <xf numFmtId="164" fontId="1" fillId="4" borderId="14" xfId="0" applyNumberFormat="1" applyFont="1" applyFill="1" applyBorder="1" applyAlignment="1">
      <alignment horizontal="center" vertical="center" wrapText="1"/>
    </xf>
    <xf numFmtId="49" fontId="1" fillId="4" borderId="14" xfId="0" applyNumberFormat="1" applyFont="1" applyFill="1" applyBorder="1" applyAlignment="1">
      <alignment horizontal="center" vertical="center" wrapText="1"/>
    </xf>
    <xf numFmtId="168" fontId="1" fillId="4" borderId="14" xfId="0" applyNumberFormat="1" applyFont="1" applyFill="1" applyBorder="1" applyAlignment="1">
      <alignment horizontal="center" vertical="center" wrapText="1"/>
    </xf>
    <xf numFmtId="4" fontId="1" fillId="4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88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4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72" xfId="0" applyNumberFormat="1" applyFont="1" applyFill="1" applyBorder="1" applyAlignment="1" applyProtection="1">
      <alignment horizontal="center" vertical="center" wrapText="1"/>
      <protection locked="0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Fill="1" applyBorder="1" applyAlignment="1">
      <alignment horizontal="center" vertical="center" wrapText="1"/>
    </xf>
    <xf numFmtId="4" fontId="4" fillId="0" borderId="18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Fill="1" applyBorder="1" applyAlignment="1">
      <alignment horizontal="center" vertical="center" wrapText="1"/>
    </xf>
    <xf numFmtId="4" fontId="3" fillId="0" borderId="17" xfId="0" applyNumberFormat="1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49" fontId="1" fillId="18" borderId="77" xfId="0" applyNumberFormat="1" applyFont="1" applyFill="1" applyBorder="1" applyAlignment="1">
      <alignment horizontal="center" vertical="center" wrapText="1"/>
    </xf>
    <xf numFmtId="49" fontId="1" fillId="18" borderId="79" xfId="0" applyNumberFormat="1" applyFont="1" applyFill="1" applyBorder="1" applyAlignment="1">
      <alignment horizontal="center" vertical="center" wrapText="1"/>
    </xf>
    <xf numFmtId="49" fontId="1" fillId="18" borderId="78" xfId="0" applyNumberFormat="1" applyFont="1" applyFill="1" applyBorder="1" applyAlignment="1">
      <alignment horizontal="center" vertical="center" wrapText="1"/>
    </xf>
    <xf numFmtId="1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7" xfId="0" applyNumberFormat="1" applyFont="1" applyFill="1" applyBorder="1" applyAlignment="1">
      <alignment horizontal="center" vertical="center" wrapText="1"/>
    </xf>
    <xf numFmtId="4" fontId="1" fillId="18" borderId="79" xfId="0" applyNumberFormat="1" applyFont="1" applyFill="1" applyBorder="1" applyAlignment="1">
      <alignment horizontal="center" vertical="center" wrapText="1"/>
    </xf>
    <xf numFmtId="4" fontId="1" fillId="18" borderId="78" xfId="0" applyNumberFormat="1" applyFont="1" applyFill="1" applyBorder="1" applyAlignment="1">
      <alignment horizontal="center" vertical="center" wrapText="1"/>
    </xf>
    <xf numFmtId="0" fontId="1" fillId="18" borderId="77" xfId="0" applyFont="1" applyFill="1" applyBorder="1" applyAlignment="1" applyProtection="1">
      <alignment horizontal="center" vertical="center" wrapText="1"/>
      <protection locked="0"/>
    </xf>
    <xf numFmtId="0" fontId="1" fillId="18" borderId="79" xfId="0" applyFont="1" applyFill="1" applyBorder="1" applyAlignment="1" applyProtection="1">
      <alignment horizontal="center" vertical="center" wrapText="1"/>
      <protection locked="0"/>
    </xf>
    <xf numFmtId="0" fontId="1" fillId="18" borderId="78" xfId="0" applyFont="1" applyFill="1" applyBorder="1" applyAlignment="1" applyProtection="1">
      <alignment horizontal="center" vertical="center" wrapText="1"/>
      <protection locked="0"/>
    </xf>
    <xf numFmtId="1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4" xfId="0" applyFont="1" applyFill="1" applyBorder="1" applyAlignment="1" applyProtection="1">
      <alignment horizontal="center" vertical="center" wrapText="1"/>
      <protection locked="0"/>
    </xf>
    <xf numFmtId="0" fontId="1" fillId="18" borderId="65" xfId="0" applyFont="1" applyFill="1" applyBorder="1" applyAlignment="1" applyProtection="1">
      <alignment horizontal="center" vertical="center" wrapText="1"/>
      <protection locked="0"/>
    </xf>
    <xf numFmtId="0" fontId="1" fillId="18" borderId="66" xfId="0" applyFont="1" applyFill="1" applyBorder="1" applyAlignment="1" applyProtection="1">
      <alignment horizontal="center" vertical="center" wrapText="1"/>
      <protection locked="0"/>
    </xf>
    <xf numFmtId="1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9" xfId="0" applyFont="1" applyFill="1" applyBorder="1" applyAlignment="1" applyProtection="1">
      <alignment horizontal="center" vertical="center" wrapText="1"/>
      <protection locked="0"/>
    </xf>
    <xf numFmtId="0" fontId="1" fillId="18" borderId="90" xfId="0" applyFont="1" applyFill="1" applyBorder="1" applyAlignment="1" applyProtection="1">
      <alignment horizontal="center" vertical="center" wrapText="1"/>
      <protection locked="0"/>
    </xf>
    <xf numFmtId="0" fontId="1" fillId="18" borderId="91" xfId="0" applyFont="1" applyFill="1" applyBorder="1" applyAlignment="1" applyProtection="1">
      <alignment horizontal="center" vertical="center" wrapText="1"/>
      <protection locked="0"/>
    </xf>
    <xf numFmtId="168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>
      <alignment horizontal="center" vertical="center" wrapText="1"/>
    </xf>
    <xf numFmtId="4" fontId="1" fillId="18" borderId="49" xfId="0" applyNumberFormat="1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>
      <alignment horizontal="center" vertical="center" wrapText="1"/>
    </xf>
    <xf numFmtId="49" fontId="1" fillId="18" borderId="49" xfId="0" applyNumberFormat="1" applyFont="1" applyFill="1" applyBorder="1" applyAlignment="1">
      <alignment horizontal="center" vertical="center" wrapText="1"/>
    </xf>
    <xf numFmtId="49" fontId="1" fillId="18" borderId="48" xfId="0" applyNumberFormat="1" applyFont="1" applyFill="1" applyBorder="1" applyAlignment="1">
      <alignment horizontal="center" vertical="center" wrapText="1"/>
    </xf>
    <xf numFmtId="49" fontId="1" fillId="18" borderId="64" xfId="0" applyNumberFormat="1" applyFont="1" applyFill="1" applyBorder="1" applyAlignment="1">
      <alignment horizontal="center" vertical="center" wrapText="1"/>
    </xf>
    <xf numFmtId="49" fontId="1" fillId="18" borderId="65" xfId="0" applyNumberFormat="1" applyFont="1" applyFill="1" applyBorder="1" applyAlignment="1">
      <alignment horizontal="center" vertical="center" wrapText="1"/>
    </xf>
    <xf numFmtId="49" fontId="1" fillId="18" borderId="66" xfId="0" applyNumberFormat="1" applyFont="1" applyFill="1" applyBorder="1" applyAlignment="1">
      <alignment horizontal="center" vertical="center" wrapText="1"/>
    </xf>
    <xf numFmtId="4" fontId="1" fillId="4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65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4" xfId="0" applyNumberFormat="1" applyFont="1" applyFill="1" applyBorder="1" applyAlignment="1">
      <alignment horizontal="center" vertical="center" wrapText="1"/>
    </xf>
    <xf numFmtId="4" fontId="1" fillId="18" borderId="65" xfId="0" applyNumberFormat="1" applyFont="1" applyFill="1" applyBorder="1" applyAlignment="1">
      <alignment horizontal="center" vertical="center" wrapText="1"/>
    </xf>
    <xf numFmtId="4" fontId="1" fillId="18" borderId="66" xfId="0" applyNumberFormat="1" applyFont="1" applyFill="1" applyBorder="1" applyAlignment="1">
      <alignment horizontal="center" vertical="center" wrapText="1"/>
    </xf>
    <xf numFmtId="49" fontId="1" fillId="18" borderId="89" xfId="0" applyNumberFormat="1" applyFont="1" applyFill="1" applyBorder="1" applyAlignment="1">
      <alignment horizontal="center" vertical="center" wrapText="1"/>
    </xf>
    <xf numFmtId="49" fontId="1" fillId="18" borderId="90" xfId="0" applyNumberFormat="1" applyFont="1" applyFill="1" applyBorder="1" applyAlignment="1">
      <alignment horizontal="center" vertical="center" wrapText="1"/>
    </xf>
    <xf numFmtId="49" fontId="1" fillId="18" borderId="91" xfId="0" applyNumberFormat="1" applyFont="1" applyFill="1" applyBorder="1" applyAlignment="1">
      <alignment horizontal="center" vertical="center" wrapText="1"/>
    </xf>
    <xf numFmtId="0" fontId="1" fillId="18" borderId="47" xfId="0" applyFont="1" applyFill="1" applyBorder="1" applyAlignment="1" applyProtection="1">
      <alignment horizontal="center" vertical="center" wrapText="1"/>
      <protection locked="0"/>
    </xf>
    <xf numFmtId="0" fontId="1" fillId="18" borderId="48" xfId="0" applyFont="1" applyFill="1" applyBorder="1" applyAlignment="1" applyProtection="1">
      <alignment horizontal="center" vertical="center" wrapText="1"/>
      <protection locked="0"/>
    </xf>
    <xf numFmtId="0" fontId="1" fillId="18" borderId="49" xfId="0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>
      <alignment horizontal="center" vertical="center" wrapText="1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6" xfId="0" applyFont="1" applyFill="1" applyBorder="1" applyAlignment="1" applyProtection="1">
      <alignment horizontal="center" vertical="center" wrapText="1"/>
      <protection locked="0"/>
    </xf>
    <xf numFmtId="0" fontId="1" fillId="18" borderId="58" xfId="0" applyFont="1" applyFill="1" applyBorder="1" applyAlignment="1" applyProtection="1">
      <alignment horizontal="center" vertical="center" wrapText="1"/>
      <protection locked="0"/>
    </xf>
    <xf numFmtId="49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>
      <alignment horizontal="center" vertical="center" wrapText="1"/>
    </xf>
    <xf numFmtId="4" fontId="1" fillId="18" borderId="58" xfId="0" applyNumberFormat="1" applyFont="1" applyFill="1" applyBorder="1" applyAlignment="1">
      <alignment horizontal="center" vertical="center" wrapText="1"/>
    </xf>
    <xf numFmtId="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89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9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9" xfId="0" applyNumberFormat="1" applyFont="1" applyFill="1" applyBorder="1" applyAlignment="1">
      <alignment horizontal="center" vertical="center" wrapText="1"/>
    </xf>
    <xf numFmtId="4" fontId="1" fillId="18" borderId="91" xfId="0" applyNumberFormat="1" applyFont="1" applyFill="1" applyBorder="1" applyAlignment="1">
      <alignment horizontal="center" vertical="center" wrapText="1"/>
    </xf>
    <xf numFmtId="49" fontId="1" fillId="18" borderId="56" xfId="0" applyNumberFormat="1" applyFont="1" applyFill="1" applyBorder="1" applyAlignment="1">
      <alignment horizontal="center" vertical="center" wrapText="1"/>
    </xf>
    <xf numFmtId="49" fontId="1" fillId="18" borderId="58" xfId="0" applyNumberFormat="1" applyFont="1" applyFill="1" applyBorder="1" applyAlignment="1">
      <alignment horizontal="center" vertical="center" wrapText="1"/>
    </xf>
    <xf numFmtId="0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9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0" xfId="0" applyNumberFormat="1" applyFont="1" applyFill="1" applyBorder="1" applyAlignment="1">
      <alignment horizontal="center" vertical="center" wrapText="1"/>
    </xf>
    <xf numFmtId="16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4" xfId="0" applyFont="1" applyFill="1" applyBorder="1" applyAlignment="1" applyProtection="1">
      <alignment horizontal="center" vertical="center" wrapText="1"/>
      <protection locked="0"/>
    </xf>
    <xf numFmtId="0" fontId="1" fillId="18" borderId="75" xfId="0" applyFont="1" applyFill="1" applyBorder="1" applyAlignment="1" applyProtection="1">
      <alignment horizontal="center" vertical="center" wrapText="1"/>
      <protection locked="0"/>
    </xf>
    <xf numFmtId="0" fontId="1" fillId="18" borderId="76" xfId="0" applyFont="1" applyFill="1" applyBorder="1" applyAlignment="1" applyProtection="1">
      <alignment horizontal="center" vertical="center" wrapText="1"/>
      <protection locked="0"/>
    </xf>
    <xf numFmtId="49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>
      <alignment horizontal="center" vertical="center" wrapText="1"/>
    </xf>
    <xf numFmtId="4" fontId="1" fillId="18" borderId="75" xfId="0" applyNumberFormat="1" applyFont="1" applyFill="1" applyBorder="1" applyAlignment="1">
      <alignment horizontal="center" vertical="center" wrapText="1"/>
    </xf>
    <xf numFmtId="4" fontId="1" fillId="18" borderId="76" xfId="0" applyNumberFormat="1" applyFont="1" applyFill="1" applyBorder="1" applyAlignment="1">
      <alignment horizontal="center" vertical="center" wrapText="1"/>
    </xf>
    <xf numFmtId="167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7" xfId="0" applyFont="1" applyFill="1" applyBorder="1" applyAlignment="1" applyProtection="1">
      <alignment horizontal="center" vertical="center" wrapText="1"/>
      <protection locked="0"/>
    </xf>
    <xf numFmtId="0" fontId="1" fillId="18" borderId="68" xfId="0" applyFont="1" applyFill="1" applyBorder="1" applyAlignment="1" applyProtection="1">
      <alignment horizontal="center" vertical="center" wrapText="1"/>
      <protection locked="0"/>
    </xf>
    <xf numFmtId="49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67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7" xfId="0" applyNumberFormat="1" applyFont="1" applyFill="1" applyBorder="1" applyAlignment="1">
      <alignment horizontal="center" vertical="center" wrapText="1"/>
    </xf>
    <xf numFmtId="4" fontId="1" fillId="18" borderId="68" xfId="0" applyNumberFormat="1" applyFont="1" applyFill="1" applyBorder="1" applyAlignment="1">
      <alignment horizontal="center" vertical="center" wrapText="1"/>
    </xf>
    <xf numFmtId="167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7" xfId="0" applyNumberFormat="1" applyFont="1" applyFill="1" applyBorder="1" applyAlignment="1">
      <alignment horizontal="center" vertical="center" wrapText="1"/>
    </xf>
    <xf numFmtId="49" fontId="1" fillId="18" borderId="68" xfId="0" applyNumberFormat="1" applyFont="1" applyFill="1" applyBorder="1" applyAlignment="1">
      <alignment horizontal="center" vertical="center" wrapText="1"/>
    </xf>
    <xf numFmtId="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0" xfId="0" applyNumberFormat="1" applyFont="1" applyFill="1" applyBorder="1" applyAlignment="1">
      <alignment horizontal="center" vertical="center" wrapText="1"/>
    </xf>
    <xf numFmtId="49" fontId="1" fillId="18" borderId="61" xfId="0" applyNumberFormat="1" applyFont="1" applyFill="1" applyBorder="1" applyAlignment="1">
      <alignment horizontal="center" vertical="center" wrapText="1"/>
    </xf>
    <xf numFmtId="49" fontId="1" fillId="18" borderId="62" xfId="0" applyNumberFormat="1" applyFont="1" applyFill="1" applyBorder="1" applyAlignment="1">
      <alignment horizontal="center" vertical="center" wrapText="1"/>
    </xf>
    <xf numFmtId="49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>
      <alignment horizontal="center" vertical="center" wrapText="1"/>
    </xf>
    <xf numFmtId="49" fontId="1" fillId="18" borderId="29" xfId="0" applyNumberFormat="1" applyFont="1" applyFill="1" applyBorder="1" applyAlignment="1">
      <alignment horizontal="center" vertical="center" wrapText="1"/>
    </xf>
    <xf numFmtId="49" fontId="1" fillId="18" borderId="30" xfId="0" applyNumberFormat="1" applyFont="1" applyFill="1" applyBorder="1" applyAlignment="1">
      <alignment horizontal="center" vertical="center" wrapText="1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>
      <alignment horizontal="center" vertical="center" wrapText="1"/>
    </xf>
    <xf numFmtId="4" fontId="1" fillId="18" borderId="29" xfId="0" applyNumberFormat="1" applyFont="1" applyFill="1" applyBorder="1" applyAlignment="1">
      <alignment horizontal="center" vertical="center" wrapText="1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>
      <alignment horizontal="center" vertical="center" wrapText="1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>
      <alignment horizontal="center" vertical="center" wrapText="1"/>
    </xf>
    <xf numFmtId="4" fontId="1" fillId="18" borderId="26" xfId="0" applyNumberFormat="1" applyFont="1" applyFill="1" applyBorder="1" applyAlignment="1">
      <alignment horizontal="center" vertical="center" wrapText="1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4" xfId="0" applyNumberFormat="1" applyFont="1" applyFill="1" applyBorder="1" applyAlignment="1">
      <alignment horizontal="center" vertical="center" wrapText="1"/>
    </xf>
    <xf numFmtId="49" fontId="1" fillId="18" borderId="75" xfId="0" applyNumberFormat="1" applyFont="1" applyFill="1" applyBorder="1" applyAlignment="1">
      <alignment horizontal="center" vertical="center" wrapText="1"/>
    </xf>
    <xf numFmtId="49" fontId="1" fillId="18" borderId="76" xfId="0" applyNumberFormat="1" applyFont="1" applyFill="1" applyBorder="1" applyAlignment="1">
      <alignment horizontal="center" vertical="center" wrapText="1"/>
    </xf>
    <xf numFmtId="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0" xfId="0" applyNumberFormat="1" applyFont="1" applyFill="1" applyBorder="1" applyAlignment="1">
      <alignment horizontal="center" vertical="center" wrapText="1"/>
    </xf>
    <xf numFmtId="4" fontId="1" fillId="18" borderId="71" xfId="0" applyNumberFormat="1" applyFont="1" applyFill="1" applyBorder="1" applyAlignment="1">
      <alignment horizontal="center" vertical="center" wrapText="1"/>
    </xf>
    <xf numFmtId="4" fontId="1" fillId="18" borderId="72" xfId="0" applyNumberFormat="1" applyFont="1" applyFill="1" applyBorder="1" applyAlignment="1">
      <alignment horizontal="center" vertical="center" wrapText="1"/>
    </xf>
    <xf numFmtId="167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>
      <alignment horizontal="center" vertical="center" wrapText="1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4" fontId="1" fillId="4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0" xfId="0" applyFont="1" applyFill="1" applyBorder="1" applyAlignment="1" applyProtection="1">
      <alignment horizontal="center" vertical="center" wrapText="1"/>
      <protection locked="0"/>
    </xf>
    <xf numFmtId="0" fontId="1" fillId="18" borderId="61" xfId="0" applyFont="1" applyFill="1" applyBorder="1" applyAlignment="1" applyProtection="1">
      <alignment horizontal="center" vertical="center" wrapText="1"/>
      <protection locked="0"/>
    </xf>
    <xf numFmtId="0" fontId="1" fillId="18" borderId="62" xfId="0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>
      <alignment horizontal="center" vertical="center" wrapText="1"/>
    </xf>
    <xf numFmtId="4" fontId="1" fillId="18" borderId="61" xfId="0" applyNumberFormat="1" applyFont="1" applyFill="1" applyBorder="1" applyAlignment="1">
      <alignment horizontal="center" vertical="center" wrapText="1"/>
    </xf>
    <xf numFmtId="4" fontId="1" fillId="18" borderId="62" xfId="0" applyNumberFormat="1" applyFont="1" applyFill="1" applyBorder="1" applyAlignment="1">
      <alignment horizontal="center" vertical="center" wrapText="1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6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0" xfId="0" applyNumberFormat="1" applyFont="1" applyFill="1" applyBorder="1" applyAlignment="1">
      <alignment horizontal="center" vertical="center" wrapText="1"/>
    </xf>
    <xf numFmtId="49" fontId="1" fillId="18" borderId="71" xfId="0" applyNumberFormat="1" applyFont="1" applyFill="1" applyBorder="1" applyAlignment="1">
      <alignment horizontal="center" vertical="center" wrapText="1"/>
    </xf>
    <xf numFmtId="49" fontId="1" fillId="18" borderId="72" xfId="0" applyNumberFormat="1" applyFont="1" applyFill="1" applyBorder="1" applyAlignment="1">
      <alignment horizontal="center" vertical="center" wrapText="1"/>
    </xf>
    <xf numFmtId="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0" xfId="0" applyFont="1" applyFill="1" applyBorder="1" applyAlignment="1" applyProtection="1">
      <alignment horizontal="center" vertical="center" wrapText="1"/>
      <protection locked="0"/>
    </xf>
    <xf numFmtId="0" fontId="1" fillId="18" borderId="71" xfId="0" applyFont="1" applyFill="1" applyBorder="1" applyAlignment="1" applyProtection="1">
      <alignment horizontal="center" vertical="center" wrapText="1"/>
      <protection locked="0"/>
    </xf>
    <xf numFmtId="0" fontId="1" fillId="18" borderId="72" xfId="0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7" xfId="0" applyFont="1" applyFill="1" applyBorder="1" applyAlignment="1" applyProtection="1">
      <alignment horizontal="center" vertical="center" wrapText="1"/>
      <protection locked="0"/>
    </xf>
    <xf numFmtId="1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>
      <alignment horizontal="center" vertical="center" wrapText="1"/>
    </xf>
    <xf numFmtId="49" fontId="1" fillId="18" borderId="57" xfId="0" applyNumberFormat="1" applyFont="1" applyFill="1" applyBorder="1" applyAlignment="1">
      <alignment horizontal="center" vertical="center" wrapText="1"/>
    </xf>
    <xf numFmtId="165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Border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49" fontId="1" fillId="18" borderId="50" xfId="0" applyNumberFormat="1" applyFont="1" applyFill="1" applyBorder="1" applyAlignment="1">
      <alignment horizontal="center" vertical="center" wrapText="1"/>
    </xf>
    <xf numFmtId="49" fontId="1" fillId="18" borderId="53" xfId="0" applyNumberFormat="1" applyFont="1" applyFill="1" applyBorder="1" applyAlignment="1">
      <alignment horizontal="center" vertical="center" wrapText="1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2" xfId="0" applyFont="1" applyFill="1" applyBorder="1" applyAlignment="1" applyProtection="1">
      <alignment horizontal="center" vertical="center" wrapText="1"/>
      <protection locked="0"/>
    </xf>
    <xf numFmtId="0" fontId="1" fillId="18" borderId="55" xfId="0" applyFont="1" applyFill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>
      <alignment horizontal="center" vertical="center" wrapText="1"/>
    </xf>
    <xf numFmtId="4" fontId="1" fillId="18" borderId="54" xfId="0" applyNumberFormat="1" applyFont="1" applyFill="1" applyBorder="1" applyAlignment="1">
      <alignment horizontal="center" vertical="center" wrapText="1"/>
    </xf>
    <xf numFmtId="1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1" xfId="0" applyNumberFormat="1" applyFont="1" applyFill="1" applyBorder="1" applyAlignment="1">
      <alignment horizontal="center" vertical="center" wrapText="1"/>
    </xf>
    <xf numFmtId="4" fontId="1" fillId="18" borderId="87" xfId="0" applyNumberFormat="1" applyFont="1" applyFill="1" applyBorder="1" applyAlignment="1">
      <alignment horizontal="center" vertical="center" wrapText="1"/>
    </xf>
    <xf numFmtId="4" fontId="1" fillId="18" borderId="84" xfId="0" applyNumberFormat="1" applyFont="1" applyFill="1" applyBorder="1" applyAlignment="1">
      <alignment horizontal="center" vertical="center" wrapText="1"/>
    </xf>
    <xf numFmtId="1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0" fontId="16" fillId="18" borderId="81" xfId="0" applyFont="1" applyFill="1" applyBorder="1" applyAlignment="1" applyProtection="1">
      <alignment vertical="center"/>
      <protection locked="0"/>
    </xf>
    <xf numFmtId="0" fontId="16" fillId="18" borderId="87" xfId="0" applyFont="1" applyFill="1" applyBorder="1" applyAlignment="1" applyProtection="1">
      <alignment vertical="center"/>
      <protection locked="0"/>
    </xf>
    <xf numFmtId="0" fontId="16" fillId="18" borderId="84" xfId="0" applyFont="1" applyFill="1" applyBorder="1" applyAlignment="1" applyProtection="1">
      <alignment vertical="center"/>
      <protection locked="0"/>
    </xf>
    <xf numFmtId="0" fontId="17" fillId="18" borderId="81" xfId="0" applyFont="1" applyFill="1" applyBorder="1" applyAlignment="1" applyProtection="1">
      <alignment vertical="center" wrapText="1"/>
      <protection locked="0"/>
    </xf>
    <xf numFmtId="0" fontId="17" fillId="18" borderId="87" xfId="0" applyFont="1" applyFill="1" applyBorder="1" applyAlignment="1" applyProtection="1">
      <alignment vertical="center" wrapText="1"/>
      <protection locked="0"/>
    </xf>
    <xf numFmtId="0" fontId="17" fillId="18" borderId="84" xfId="0" applyFont="1" applyFill="1" applyBorder="1" applyAlignment="1" applyProtection="1">
      <alignment vertical="center" wrapText="1"/>
      <protection locked="0"/>
    </xf>
    <xf numFmtId="49" fontId="1" fillId="18" borderId="80" xfId="0" applyNumberFormat="1" applyFont="1" applyFill="1" applyBorder="1" applyAlignment="1">
      <alignment horizontal="center" vertical="center" wrapText="1"/>
    </xf>
    <xf numFmtId="49" fontId="1" fillId="18" borderId="86" xfId="0" applyNumberFormat="1" applyFont="1" applyFill="1" applyBorder="1" applyAlignment="1">
      <alignment horizontal="center" vertical="center" wrapText="1"/>
    </xf>
    <xf numFmtId="49" fontId="1" fillId="18" borderId="83" xfId="0" applyNumberFormat="1" applyFont="1" applyFill="1" applyBorder="1" applyAlignment="1">
      <alignment horizontal="center" vertical="center" wrapText="1"/>
    </xf>
    <xf numFmtId="165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56" xfId="0" applyFont="1" applyBorder="1" applyAlignment="1" applyProtection="1">
      <alignment vertical="center"/>
      <protection locked="0"/>
    </xf>
    <xf numFmtId="0" fontId="16" fillId="0" borderId="57" xfId="0" applyFont="1" applyBorder="1" applyAlignment="1" applyProtection="1">
      <alignment vertical="center"/>
      <protection locked="0"/>
    </xf>
    <xf numFmtId="0" fontId="16" fillId="0" borderId="58" xfId="0" applyFont="1" applyBorder="1" applyAlignment="1" applyProtection="1">
      <alignment vertical="center"/>
      <protection locked="0"/>
    </xf>
    <xf numFmtId="0" fontId="17" fillId="4" borderId="56" xfId="0" applyFont="1" applyFill="1" applyBorder="1" applyAlignment="1" applyProtection="1">
      <alignment vertical="center" wrapText="1"/>
      <protection locked="0"/>
    </xf>
    <xf numFmtId="0" fontId="17" fillId="4" borderId="57" xfId="0" applyFont="1" applyFill="1" applyBorder="1" applyAlignment="1" applyProtection="1">
      <alignment vertical="center" wrapText="1"/>
      <protection locked="0"/>
    </xf>
    <xf numFmtId="0" fontId="17" fillId="4" borderId="58" xfId="0" applyFont="1" applyFill="1" applyBorder="1" applyAlignment="1" applyProtection="1">
      <alignment vertical="center" wrapText="1"/>
      <protection locked="0"/>
    </xf>
    <xf numFmtId="49" fontId="1" fillId="18" borderId="92" xfId="0" applyNumberFormat="1" applyFont="1" applyFill="1" applyBorder="1" applyAlignment="1">
      <alignment horizontal="center" vertical="center" wrapText="1"/>
    </xf>
    <xf numFmtId="49" fontId="1" fillId="18" borderId="95" xfId="0" applyNumberFormat="1" applyFont="1" applyFill="1" applyBorder="1" applyAlignment="1">
      <alignment horizontal="center" vertical="center" wrapText="1"/>
    </xf>
    <xf numFmtId="49" fontId="1" fillId="18" borderId="98" xfId="0" applyNumberFormat="1" applyFont="1" applyFill="1" applyBorder="1" applyAlignment="1">
      <alignment horizontal="center" vertical="center" wrapText="1"/>
    </xf>
    <xf numFmtId="165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3" xfId="0" applyNumberFormat="1" applyFont="1" applyFill="1" applyBorder="1" applyAlignment="1">
      <alignment horizontal="center" vertical="center" wrapText="1"/>
    </xf>
    <xf numFmtId="4" fontId="1" fillId="18" borderId="96" xfId="0" applyNumberFormat="1" applyFont="1" applyFill="1" applyBorder="1" applyAlignment="1">
      <alignment horizontal="center" vertical="center" wrapText="1"/>
    </xf>
    <xf numFmtId="4" fontId="1" fillId="18" borderId="99" xfId="0" applyNumberFormat="1" applyFont="1" applyFill="1" applyBorder="1" applyAlignment="1">
      <alignment horizontal="center" vertical="center" wrapText="1"/>
    </xf>
    <xf numFmtId="14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0" fontId="16" fillId="18" borderId="93" xfId="0" applyFont="1" applyFill="1" applyBorder="1" applyAlignment="1" applyProtection="1">
      <alignment vertical="center"/>
      <protection locked="0"/>
    </xf>
    <xf numFmtId="0" fontId="16" fillId="18" borderId="96" xfId="0" applyFont="1" applyFill="1" applyBorder="1" applyAlignment="1" applyProtection="1">
      <alignment vertical="center"/>
      <protection locked="0"/>
    </xf>
    <xf numFmtId="0" fontId="16" fillId="18" borderId="99" xfId="0" applyFont="1" applyFill="1" applyBorder="1" applyAlignment="1" applyProtection="1">
      <alignment vertical="center"/>
      <protection locked="0"/>
    </xf>
    <xf numFmtId="0" fontId="17" fillId="18" borderId="93" xfId="0" applyFont="1" applyFill="1" applyBorder="1" applyAlignment="1" applyProtection="1">
      <alignment vertical="center" wrapText="1"/>
      <protection locked="0"/>
    </xf>
    <xf numFmtId="0" fontId="17" fillId="18" borderId="96" xfId="0" applyFont="1" applyFill="1" applyBorder="1" applyAlignment="1" applyProtection="1">
      <alignment vertical="center" wrapText="1"/>
      <protection locked="0"/>
    </xf>
    <xf numFmtId="0" fontId="17" fillId="18" borderId="99" xfId="0" applyFont="1" applyFill="1" applyBorder="1" applyAlignment="1" applyProtection="1">
      <alignment vertical="center" wrapText="1"/>
      <protection locked="0"/>
    </xf>
    <xf numFmtId="0" fontId="1" fillId="18" borderId="82" xfId="0" applyFont="1" applyFill="1" applyBorder="1" applyAlignment="1" applyProtection="1">
      <alignment horizontal="center" vertical="center" wrapText="1"/>
      <protection locked="0"/>
    </xf>
    <xf numFmtId="0" fontId="1" fillId="18" borderId="85" xfId="0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>
      <alignment horizontal="center" vertical="center" wrapText="1"/>
    </xf>
    <xf numFmtId="49" fontId="1" fillId="18" borderId="34" xfId="0" applyNumberFormat="1" applyFont="1" applyFill="1" applyBorder="1" applyAlignment="1">
      <alignment horizontal="center" vertical="center" wrapText="1"/>
    </xf>
    <xf numFmtId="49" fontId="1" fillId="18" borderId="37" xfId="0" applyNumberFormat="1" applyFont="1" applyFill="1" applyBorder="1" applyAlignment="1">
      <alignment horizontal="center" vertical="center" wrapText="1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>
      <alignment horizontal="center" vertical="center" wrapText="1"/>
    </xf>
    <xf numFmtId="4" fontId="1" fillId="18" borderId="35" xfId="0" applyNumberFormat="1" applyFont="1" applyFill="1" applyBorder="1" applyAlignment="1">
      <alignment horizontal="center" vertical="center" wrapText="1"/>
    </xf>
    <xf numFmtId="4" fontId="1" fillId="18" borderId="38" xfId="0" applyNumberFormat="1" applyFont="1" applyFill="1" applyBorder="1" applyAlignment="1">
      <alignment horizontal="center" vertical="center" wrapText="1"/>
    </xf>
    <xf numFmtId="0" fontId="1" fillId="18" borderId="33" xfId="0" applyFont="1" applyFill="1" applyBorder="1" applyAlignment="1" applyProtection="1">
      <alignment horizontal="center" vertical="center" wrapText="1"/>
      <protection locked="0"/>
    </xf>
    <xf numFmtId="0" fontId="1" fillId="18" borderId="36" xfId="0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/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/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/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6583</xdr:rowOff>
    </xdr:to>
    <xdr:sp macro="[0]!УдалитьСтрокуП4" textlink="">
      <xdr:nvSpPr>
        <xdr:cNvPr id="5" name="Скругленный прямоугольник 4"/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349826</xdr:colOff>
      <xdr:row>3</xdr:row>
      <xdr:rowOff>6924</xdr:rowOff>
    </xdr:from>
    <xdr:to>
      <xdr:col>13</xdr:col>
      <xdr:colOff>1080626</xdr:colOff>
      <xdr:row>4</xdr:row>
      <xdr:rowOff>657</xdr:rowOff>
    </xdr:to>
    <xdr:sp macro="[0]!УдалитьСтрокуП5" textlink="">
      <xdr:nvSpPr>
        <xdr:cNvPr id="3" name="Скругленный прямоугольник 2"/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3</xdr:row>
      <xdr:rowOff>0</xdr:rowOff>
    </xdr:from>
    <xdr:to>
      <xdr:col>8</xdr:col>
      <xdr:colOff>1420928</xdr:colOff>
      <xdr:row>3</xdr:row>
      <xdr:rowOff>484950</xdr:rowOff>
    </xdr:to>
    <xdr:sp macro="[0]!ДобавитьКонтрактП5" textlink="">
      <xdr:nvSpPr>
        <xdr:cNvPr id="4" name="Скругленный прямоугольник 3"/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2346612</xdr:colOff>
      <xdr:row>3</xdr:row>
      <xdr:rowOff>0</xdr:rowOff>
    </xdr:from>
    <xdr:to>
      <xdr:col>18</xdr:col>
      <xdr:colOff>619962</xdr:colOff>
      <xdr:row>4</xdr:row>
      <xdr:rowOff>792</xdr:rowOff>
    </xdr:to>
    <xdr:sp macro="[0]!ДобавитьППАктП5" textlink="">
      <xdr:nvSpPr>
        <xdr:cNvPr id="5" name="Скругленный прямоугольник 4"/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4</xdr:row>
      <xdr:rowOff>874</xdr:rowOff>
    </xdr:to>
    <xdr:sp macro="[0]!ДобавитьКонтрактSt93" textlink="">
      <xdr:nvSpPr>
        <xdr:cNvPr id="2" name="Скругленный прямоугольник 1"/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3</xdr:row>
      <xdr:rowOff>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/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4</xdr:row>
      <xdr:rowOff>873</xdr:rowOff>
    </xdr:to>
    <xdr:sp macro="[0]!УдалитьСтрокуSt93" textlink="">
      <xdr:nvSpPr>
        <xdr:cNvPr id="6" name="Скругленный прямоугольник 5"/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/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/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/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4</xdr:row>
      <xdr:rowOff>1080</xdr:rowOff>
    </xdr:to>
    <xdr:sp macro="[0]!ДобавитьКонтрактNEA" textlink="">
      <xdr:nvSpPr>
        <xdr:cNvPr id="2" name="Скругленный прямоугольник 1"/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4</xdr:row>
      <xdr:rowOff>1080</xdr:rowOff>
    </xdr:to>
    <xdr:sp macro="[0]!УдалитьСтрокуNEA" textlink="">
      <xdr:nvSpPr>
        <xdr:cNvPr id="5" name="Скругленный прямоугольник 4"/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/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/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16</xdr:col>
      <xdr:colOff>64050</xdr:colOff>
      <xdr:row>4</xdr:row>
      <xdr:rowOff>0</xdr:rowOff>
    </xdr:to>
    <xdr:sp macro="[0]!УдалитьСтрокуIKZ" textlink="">
      <xdr:nvSpPr>
        <xdr:cNvPr id="3" name="Скругленный прямоугольник 2"/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1136100</xdr:colOff>
      <xdr:row>3</xdr:row>
      <xdr:rowOff>10350</xdr:rowOff>
    </xdr:from>
    <xdr:to>
      <xdr:col>22</xdr:col>
      <xdr:colOff>1219200</xdr:colOff>
      <xdr:row>4</xdr:row>
      <xdr:rowOff>0</xdr:rowOff>
    </xdr:to>
    <xdr:sp macro="[0]!ДобавитьППАктIKZ" textlink="">
      <xdr:nvSpPr>
        <xdr:cNvPr id="4" name="Скругленный прямоугольник 3"/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zoomScale="70" zoomScaleNormal="70" workbookViewId="0">
      <selection activeCell="C4" sqref="C4"/>
    </sheetView>
  </sheetViews>
  <sheetFormatPr defaultColWidth="0" defaultRowHeight="14.4" x14ac:dyDescent="0.3"/>
  <cols>
    <col min="1" max="2" width="9.109375" style="9" customWidth="1"/>
    <col min="3" max="3" width="25.33203125" style="9" customWidth="1"/>
    <col min="4" max="5" width="9.109375" style="9" customWidth="1"/>
    <col min="6" max="6" width="11.6640625" style="9" customWidth="1"/>
    <col min="7" max="7" width="19" style="9" customWidth="1"/>
    <col min="8" max="8" width="6.5546875" style="9" customWidth="1"/>
    <col min="9" max="9" width="5.5546875" style="9" customWidth="1"/>
    <col min="10" max="10" width="15" style="9" customWidth="1"/>
    <col min="11" max="11" width="14.88671875" style="9" customWidth="1"/>
    <col min="12" max="12" width="21.33203125" style="9" customWidth="1"/>
    <col min="13" max="13" width="10.109375" style="9" customWidth="1"/>
    <col min="14" max="14" width="17.109375" style="9" bestFit="1" customWidth="1"/>
    <col min="15" max="22" width="9.109375" style="9" hidden="1" customWidth="1"/>
    <col min="23" max="23" width="30.6640625" style="9" hidden="1" customWidth="1"/>
    <col min="24" max="16384" width="9.109375" style="9" hidden="1"/>
  </cols>
  <sheetData>
    <row r="1" spans="1:14" ht="27" customHeight="1" thickBot="1" x14ac:dyDescent="0.35">
      <c r="A1" s="567" t="s">
        <v>141</v>
      </c>
      <c r="B1" s="568"/>
      <c r="C1" s="568"/>
      <c r="D1" s="568"/>
      <c r="E1" s="567" t="s">
        <v>261</v>
      </c>
      <c r="F1" s="568"/>
      <c r="G1" s="568"/>
      <c r="H1" s="568"/>
      <c r="I1" s="568"/>
      <c r="J1" s="568"/>
      <c r="K1" s="568"/>
      <c r="L1" s="568"/>
      <c r="M1" s="568"/>
      <c r="N1" s="569"/>
    </row>
    <row r="3" spans="1:14" ht="15" thickBot="1" x14ac:dyDescent="0.35">
      <c r="I3" s="21"/>
      <c r="J3" s="21"/>
      <c r="K3" s="21"/>
      <c r="L3" s="21"/>
      <c r="M3" s="21"/>
      <c r="N3" s="21"/>
    </row>
    <row r="4" spans="1:14" ht="32.25" customHeight="1" thickBot="1" x14ac:dyDescent="0.35">
      <c r="A4" s="603" t="s">
        <v>25</v>
      </c>
      <c r="B4" s="604"/>
      <c r="C4" s="4">
        <v>11827920.869999999</v>
      </c>
      <c r="D4" s="5"/>
      <c r="E4" s="605" t="s">
        <v>140</v>
      </c>
      <c r="F4" s="606"/>
      <c r="G4" s="607"/>
      <c r="H4" s="608">
        <v>1872824.29</v>
      </c>
      <c r="I4" s="609"/>
      <c r="J4" s="610"/>
      <c r="K4" s="22"/>
      <c r="L4" s="99" t="s">
        <v>55</v>
      </c>
      <c r="M4" s="605">
        <v>5805545.0599999996</v>
      </c>
      <c r="N4" s="607"/>
    </row>
    <row r="5" spans="1:14" ht="30.75" customHeight="1" thickBot="1" x14ac:dyDescent="0.35">
      <c r="A5" s="603" t="s">
        <v>26</v>
      </c>
      <c r="B5" s="604"/>
      <c r="C5" s="6">
        <f>C4-G15+J15</f>
        <v>537688.65999999922</v>
      </c>
      <c r="D5" s="5"/>
      <c r="E5" s="605" t="s">
        <v>53</v>
      </c>
      <c r="F5" s="606"/>
      <c r="G5" s="607"/>
      <c r="H5" s="598">
        <f>H4-G12+J12</f>
        <v>-2.3283064365386963E-10</v>
      </c>
      <c r="I5" s="599"/>
      <c r="J5" s="600"/>
      <c r="K5" s="22"/>
      <c r="L5" s="99" t="s">
        <v>54</v>
      </c>
      <c r="M5" s="601">
        <f>M4-G13+J13</f>
        <v>586883.93999999925</v>
      </c>
      <c r="N5" s="602"/>
    </row>
    <row r="6" spans="1:14" x14ac:dyDescent="0.3">
      <c r="C6" s="7"/>
      <c r="D6" s="10"/>
      <c r="E6" s="10"/>
      <c r="F6" s="10"/>
      <c r="G6" s="10"/>
      <c r="H6" s="10"/>
      <c r="I6" s="10"/>
      <c r="J6" s="10"/>
      <c r="K6" s="10"/>
      <c r="L6" s="10"/>
    </row>
    <row r="7" spans="1:14" ht="15" thickBot="1" x14ac:dyDescent="0.35"/>
    <row r="8" spans="1:14" ht="72" customHeight="1" thickBot="1" x14ac:dyDescent="0.35">
      <c r="A8" s="611" t="s">
        <v>27</v>
      </c>
      <c r="B8" s="612"/>
      <c r="C8" s="613"/>
      <c r="D8" s="611" t="s">
        <v>28</v>
      </c>
      <c r="E8" s="612"/>
      <c r="F8" s="613"/>
      <c r="G8" s="614" t="s">
        <v>29</v>
      </c>
      <c r="H8" s="615"/>
      <c r="I8" s="616"/>
      <c r="J8" s="614" t="s">
        <v>142</v>
      </c>
      <c r="K8" s="615"/>
      <c r="L8" s="616"/>
      <c r="M8" s="611" t="s">
        <v>30</v>
      </c>
      <c r="N8" s="613"/>
    </row>
    <row r="9" spans="1:14" ht="41.25" customHeight="1" thickBot="1" x14ac:dyDescent="0.35">
      <c r="A9" s="589" t="s">
        <v>31</v>
      </c>
      <c r="B9" s="590"/>
      <c r="C9" s="591"/>
      <c r="D9" s="588">
        <f>'Состоявшиеся аукционы'!G2</f>
        <v>2199589.56</v>
      </c>
      <c r="E9" s="588"/>
      <c r="F9" s="588"/>
      <c r="G9" s="588">
        <f>'Состоявшиеся аукционы'!Q2</f>
        <v>1722277.84</v>
      </c>
      <c r="H9" s="588"/>
      <c r="I9" s="588"/>
      <c r="J9" s="585">
        <f>'Состоявшиеся аукционы'!AB2</f>
        <v>696582.51</v>
      </c>
      <c r="K9" s="586"/>
      <c r="L9" s="587"/>
      <c r="M9" s="588">
        <f t="shared" ref="M9:M15" si="0">D9-G9</f>
        <v>477311.72</v>
      </c>
      <c r="N9" s="588"/>
    </row>
    <row r="10" spans="1:14" ht="78.75" customHeight="1" thickBot="1" x14ac:dyDescent="0.35">
      <c r="A10" s="589" t="s">
        <v>49</v>
      </c>
      <c r="B10" s="590"/>
      <c r="C10" s="591"/>
      <c r="D10" s="588">
        <f>'Несостоявшиеся аукционы'!G2</f>
        <v>878669.45</v>
      </c>
      <c r="E10" s="588"/>
      <c r="F10" s="588"/>
      <c r="G10" s="588">
        <f>'Несостоявшиеся аукционы'!Q2</f>
        <v>878669.45</v>
      </c>
      <c r="H10" s="588"/>
      <c r="I10" s="588"/>
      <c r="J10" s="585">
        <f>'Несостоявшиеся аукционы'!AB2</f>
        <v>12154.83</v>
      </c>
      <c r="K10" s="586"/>
      <c r="L10" s="587"/>
      <c r="M10" s="588">
        <f t="shared" si="0"/>
        <v>0</v>
      </c>
      <c r="N10" s="588"/>
    </row>
    <row r="11" spans="1:14" ht="40.5" customHeight="1" thickBot="1" x14ac:dyDescent="0.35">
      <c r="A11" s="589" t="s">
        <v>83</v>
      </c>
      <c r="B11" s="590"/>
      <c r="C11" s="591"/>
      <c r="D11" s="585">
        <f>'Иные конкурентные закупки'!G2</f>
        <v>0</v>
      </c>
      <c r="E11" s="586"/>
      <c r="F11" s="587"/>
      <c r="G11" s="585">
        <f>'Иные конкурентные закупки'!Q2</f>
        <v>0</v>
      </c>
      <c r="H11" s="586"/>
      <c r="I11" s="587"/>
      <c r="J11" s="585">
        <f>'Иные конкурентные закупки'!AB2</f>
        <v>0</v>
      </c>
      <c r="K11" s="586"/>
      <c r="L11" s="587"/>
      <c r="M11" s="585">
        <f t="shared" si="0"/>
        <v>0</v>
      </c>
      <c r="N11" s="587"/>
    </row>
    <row r="12" spans="1:14" ht="54.75" customHeight="1" thickBot="1" x14ac:dyDescent="0.35">
      <c r="A12" s="592" t="s">
        <v>50</v>
      </c>
      <c r="B12" s="593"/>
      <c r="C12" s="594"/>
      <c r="D12" s="588">
        <f>'Ед. поставщик п.4 ч.1'!H2</f>
        <v>1872824.2900000003</v>
      </c>
      <c r="E12" s="588"/>
      <c r="F12" s="588"/>
      <c r="G12" s="588">
        <f>D12</f>
        <v>1872824.2900000003</v>
      </c>
      <c r="H12" s="588"/>
      <c r="I12" s="588"/>
      <c r="J12" s="585">
        <f>'Ед. поставщик п.4 ч.1'!V2</f>
        <v>0</v>
      </c>
      <c r="K12" s="586"/>
      <c r="L12" s="587"/>
      <c r="M12" s="588">
        <f t="shared" si="0"/>
        <v>0</v>
      </c>
      <c r="N12" s="588"/>
    </row>
    <row r="13" spans="1:14" ht="45.75" customHeight="1" thickBot="1" x14ac:dyDescent="0.35">
      <c r="A13" s="592" t="s">
        <v>51</v>
      </c>
      <c r="B13" s="593"/>
      <c r="C13" s="594"/>
      <c r="D13" s="588">
        <f>'Ед. поставщик п.5 ч.1'!H2</f>
        <v>5854342.4000000004</v>
      </c>
      <c r="E13" s="588"/>
      <c r="F13" s="588"/>
      <c r="G13" s="588">
        <f>D13</f>
        <v>5854342.4000000004</v>
      </c>
      <c r="H13" s="588"/>
      <c r="I13" s="588"/>
      <c r="J13" s="585">
        <f>'Ед. поставщик п.5 ч.1'!V2</f>
        <v>635681.28000000003</v>
      </c>
      <c r="K13" s="586"/>
      <c r="L13" s="587"/>
      <c r="M13" s="588">
        <f t="shared" si="0"/>
        <v>0</v>
      </c>
      <c r="N13" s="588"/>
    </row>
    <row r="14" spans="1:14" ht="45.75" customHeight="1" thickBot="1" x14ac:dyDescent="0.35">
      <c r="A14" s="582" t="s">
        <v>52</v>
      </c>
      <c r="B14" s="583"/>
      <c r="C14" s="584"/>
      <c r="D14" s="585">
        <f>'Ед.поставщик за искл. п.4,5 ч.1'!G2</f>
        <v>2306536.8499999996</v>
      </c>
      <c r="E14" s="586"/>
      <c r="F14" s="587"/>
      <c r="G14" s="585">
        <f>D14</f>
        <v>2306536.8499999996</v>
      </c>
      <c r="H14" s="586"/>
      <c r="I14" s="587"/>
      <c r="J14" s="585">
        <f>'Ед.поставщик за искл. п.4,5 ч.1'!T2</f>
        <v>0</v>
      </c>
      <c r="K14" s="586"/>
      <c r="L14" s="587"/>
      <c r="M14" s="588">
        <f t="shared" si="0"/>
        <v>0</v>
      </c>
      <c r="N14" s="588"/>
    </row>
    <row r="15" spans="1:14" ht="21.6" thickBot="1" x14ac:dyDescent="0.35">
      <c r="A15" s="595" t="s">
        <v>143</v>
      </c>
      <c r="B15" s="596"/>
      <c r="C15" s="597"/>
      <c r="D15" s="588">
        <f>SUM(D9:D14)</f>
        <v>13111962.549999999</v>
      </c>
      <c r="E15" s="588"/>
      <c r="F15" s="588"/>
      <c r="G15" s="585">
        <f>SUM(G9:G14)</f>
        <v>12634650.83</v>
      </c>
      <c r="H15" s="586"/>
      <c r="I15" s="587"/>
      <c r="J15" s="585">
        <f>SUM(J9:J14)</f>
        <v>1344418.62</v>
      </c>
      <c r="K15" s="586"/>
      <c r="L15" s="587"/>
      <c r="M15" s="588">
        <f t="shared" si="0"/>
        <v>477311.71999999881</v>
      </c>
      <c r="N15" s="588"/>
    </row>
    <row r="17" spans="1:12" x14ac:dyDescent="0.3">
      <c r="J17" s="142"/>
      <c r="K17" s="142"/>
      <c r="L17" s="142"/>
    </row>
    <row r="18" spans="1:12" ht="15" thickBot="1" x14ac:dyDescent="0.35">
      <c r="K18" s="142"/>
    </row>
    <row r="19" spans="1:12" ht="23.25" customHeight="1" x14ac:dyDescent="0.3">
      <c r="A19" s="570" t="s">
        <v>35</v>
      </c>
      <c r="B19" s="571"/>
      <c r="C19" s="572"/>
      <c r="D19" s="576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10138863.880000001</v>
      </c>
      <c r="E19" s="577"/>
      <c r="F19" s="577"/>
      <c r="G19" s="578"/>
      <c r="I19" s="20"/>
      <c r="J19" s="20"/>
      <c r="K19" s="20"/>
      <c r="L19" s="20"/>
    </row>
    <row r="20" spans="1:12" ht="24" customHeight="1" thickBot="1" x14ac:dyDescent="0.35">
      <c r="A20" s="573"/>
      <c r="B20" s="574"/>
      <c r="C20" s="575"/>
      <c r="D20" s="579"/>
      <c r="E20" s="580"/>
      <c r="F20" s="580"/>
      <c r="G20" s="581"/>
      <c r="I20" s="20"/>
      <c r="J20" s="20"/>
      <c r="K20" s="20"/>
      <c r="L20" s="20"/>
    </row>
  </sheetData>
  <mergeCells count="52"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</sheetPr>
  <dimension ref="A1:X122"/>
  <sheetViews>
    <sheetView showGridLines="0" zoomScale="60" zoomScaleNormal="60" workbookViewId="0">
      <pane ySplit="8" topLeftCell="A97" activePane="bottomLeft" state="frozen"/>
      <selection activeCell="I1" sqref="I1"/>
      <selection pane="bottomLeft" activeCell="H97" sqref="H97:H98"/>
    </sheetView>
  </sheetViews>
  <sheetFormatPr defaultColWidth="0" defaultRowHeight="18" x14ac:dyDescent="0.3"/>
  <cols>
    <col min="1" max="1" width="9.109375" style="3" customWidth="1"/>
    <col min="2" max="3" width="35" style="3" customWidth="1"/>
    <col min="4" max="4" width="32.88671875" style="3" customWidth="1"/>
    <col min="5" max="5" width="27.33203125" style="12" customWidth="1"/>
    <col min="6" max="6" width="27.5546875" style="3" customWidth="1"/>
    <col min="7" max="7" width="49.109375" style="3" customWidth="1"/>
    <col min="8" max="8" width="26.88671875" style="537" customWidth="1"/>
    <col min="9" max="9" width="21.88671875" style="11" customWidth="1"/>
    <col min="10" max="10" width="33.5546875" style="3" customWidth="1"/>
    <col min="11" max="12" width="28.33203125" style="3" customWidth="1"/>
    <col min="13" max="13" width="34.88671875" style="3" customWidth="1"/>
    <col min="14" max="14" width="28.88671875" style="12" customWidth="1"/>
    <col min="15" max="15" width="28.88671875" style="3" customWidth="1"/>
    <col min="16" max="16" width="24" style="32" customWidth="1"/>
    <col min="17" max="17" width="24" style="12" bestFit="1" customWidth="1"/>
    <col min="18" max="18" width="23.44140625" style="8" customWidth="1"/>
    <col min="19" max="20" width="23.6640625" style="8" customWidth="1"/>
    <col min="21" max="21" width="24.5546875" style="12" customWidth="1"/>
    <col min="22" max="22" width="25.5546875" style="32" customWidth="1"/>
    <col min="23" max="23" width="17.6640625" style="8" customWidth="1"/>
    <col min="24" max="16384" width="9.109375" style="8" hidden="1"/>
  </cols>
  <sheetData>
    <row r="1" spans="1:24" ht="18.600000000000001" thickBot="1" x14ac:dyDescent="0.35"/>
    <row r="2" spans="1:24" ht="39.9" customHeight="1" thickBot="1" x14ac:dyDescent="0.35">
      <c r="A2" s="86"/>
      <c r="B2" s="86"/>
      <c r="C2" s="86"/>
      <c r="D2" s="86"/>
      <c r="E2" s="86"/>
      <c r="F2" s="43"/>
      <c r="G2" s="101" t="s">
        <v>24</v>
      </c>
      <c r="H2" s="538">
        <f>SUM(H9:H9999)</f>
        <v>1872824.2900000003</v>
      </c>
      <c r="K2" s="687"/>
      <c r="L2" s="687"/>
      <c r="M2" s="687"/>
      <c r="N2" s="683" t="s">
        <v>137</v>
      </c>
      <c r="O2" s="685"/>
      <c r="P2" s="87">
        <f>SUM(P9:P9999)</f>
        <v>1747781.7200000004</v>
      </c>
      <c r="R2" s="86"/>
      <c r="S2" s="683" t="s">
        <v>45</v>
      </c>
      <c r="T2" s="684"/>
      <c r="U2" s="685"/>
      <c r="V2" s="88">
        <f>SUM(V9:V9999)</f>
        <v>0</v>
      </c>
    </row>
    <row r="3" spans="1:24" x14ac:dyDescent="0.3">
      <c r="A3" s="687"/>
      <c r="B3" s="687"/>
      <c r="C3" s="687"/>
      <c r="D3" s="687"/>
      <c r="E3" s="687"/>
      <c r="F3" s="45"/>
      <c r="N3" s="86"/>
    </row>
    <row r="4" spans="1:24" ht="39.9" customHeight="1" x14ac:dyDescent="0.3">
      <c r="A4" s="14"/>
      <c r="B4" s="14"/>
      <c r="C4" s="14"/>
      <c r="D4" s="14"/>
      <c r="E4" s="29"/>
      <c r="F4" s="14"/>
      <c r="J4" s="686"/>
      <c r="K4" s="686"/>
      <c r="M4" s="686"/>
      <c r="N4" s="686"/>
      <c r="O4" s="686"/>
      <c r="P4" s="686"/>
    </row>
    <row r="5" spans="1:24" x14ac:dyDescent="0.3">
      <c r="A5" s="14"/>
      <c r="B5" s="14"/>
      <c r="C5" s="14"/>
      <c r="D5" s="14"/>
      <c r="E5" s="29"/>
      <c r="F5" s="14"/>
      <c r="G5" s="14"/>
      <c r="H5" s="539"/>
    </row>
    <row r="6" spans="1:24" ht="91.2" customHeight="1" x14ac:dyDescent="0.3">
      <c r="A6" s="69" t="s">
        <v>8</v>
      </c>
      <c r="B6" s="69" t="s">
        <v>47</v>
      </c>
      <c r="C6" s="69" t="s">
        <v>145</v>
      </c>
      <c r="D6" s="69" t="s">
        <v>10</v>
      </c>
      <c r="E6" s="68" t="s">
        <v>1</v>
      </c>
      <c r="F6" s="69" t="s">
        <v>2</v>
      </c>
      <c r="G6" s="69" t="s">
        <v>3</v>
      </c>
      <c r="H6" s="540" t="s">
        <v>4</v>
      </c>
      <c r="I6" s="71" t="s">
        <v>22</v>
      </c>
      <c r="J6" s="69" t="s">
        <v>46</v>
      </c>
      <c r="K6" s="69" t="s">
        <v>5</v>
      </c>
      <c r="L6" s="69" t="s">
        <v>82</v>
      </c>
      <c r="M6" s="69" t="s">
        <v>44</v>
      </c>
      <c r="N6" s="68" t="s">
        <v>7</v>
      </c>
      <c r="O6" s="69" t="s">
        <v>6</v>
      </c>
      <c r="P6" s="70" t="s">
        <v>23</v>
      </c>
      <c r="Q6" s="68" t="s">
        <v>9</v>
      </c>
      <c r="R6" s="67" t="s">
        <v>40</v>
      </c>
      <c r="S6" s="67" t="s">
        <v>103</v>
      </c>
      <c r="T6" s="67" t="s">
        <v>104</v>
      </c>
      <c r="U6" s="68" t="s">
        <v>41</v>
      </c>
      <c r="V6" s="70" t="s">
        <v>105</v>
      </c>
      <c r="W6" s="67" t="s">
        <v>42</v>
      </c>
    </row>
    <row r="7" spans="1:24" ht="17.399999999999999" customHeight="1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541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</row>
    <row r="8" spans="1:24" s="19" customFormat="1" ht="90" hidden="1" x14ac:dyDescent="0.3">
      <c r="A8" s="72">
        <v>1</v>
      </c>
      <c r="B8" s="72" t="s">
        <v>56</v>
      </c>
      <c r="C8" s="72"/>
      <c r="D8" s="72" t="s">
        <v>58</v>
      </c>
      <c r="E8" s="73" t="s">
        <v>57</v>
      </c>
      <c r="F8" s="73" t="s">
        <v>107</v>
      </c>
      <c r="G8" s="72" t="s">
        <v>59</v>
      </c>
      <c r="H8" s="542">
        <v>20000</v>
      </c>
      <c r="I8" s="79">
        <f>H8-P8</f>
        <v>0</v>
      </c>
      <c r="J8" s="72" t="s">
        <v>60</v>
      </c>
      <c r="K8" s="72" t="s">
        <v>61</v>
      </c>
      <c r="L8" s="72"/>
      <c r="M8" s="72" t="s">
        <v>62</v>
      </c>
      <c r="N8" s="73">
        <v>43840</v>
      </c>
      <c r="O8" s="72" t="s">
        <v>144</v>
      </c>
      <c r="P8" s="103">
        <v>20000</v>
      </c>
      <c r="Q8" s="73">
        <v>43840</v>
      </c>
      <c r="R8" s="72"/>
      <c r="S8" s="79"/>
      <c r="T8" s="79"/>
      <c r="U8" s="73"/>
      <c r="V8" s="79"/>
      <c r="W8" s="75" t="s">
        <v>64</v>
      </c>
    </row>
    <row r="9" spans="1:24" s="106" customFormat="1" ht="144" customHeight="1" x14ac:dyDescent="0.3">
      <c r="A9" s="702">
        <v>1</v>
      </c>
      <c r="B9" s="662" t="s">
        <v>56</v>
      </c>
      <c r="C9" s="662" t="s">
        <v>146</v>
      </c>
      <c r="D9" s="662" t="s">
        <v>147</v>
      </c>
      <c r="E9" s="732">
        <v>34000962</v>
      </c>
      <c r="F9" s="656">
        <v>45289</v>
      </c>
      <c r="G9" s="662" t="s">
        <v>174</v>
      </c>
      <c r="H9" s="726">
        <v>27406.080000000002</v>
      </c>
      <c r="I9" s="728">
        <f>IF(X9 = 23, H9 + SUM(S9:S19) - SUM(T9:T19) - SUM(P9:P19) - V9,0)</f>
        <v>2283.84</v>
      </c>
      <c r="J9" s="662" t="s">
        <v>175</v>
      </c>
      <c r="K9" s="662" t="s">
        <v>176</v>
      </c>
      <c r="L9" s="662" t="s">
        <v>146</v>
      </c>
      <c r="M9" s="662"/>
      <c r="N9" s="522">
        <v>45322</v>
      </c>
      <c r="O9" s="656" t="s">
        <v>165</v>
      </c>
      <c r="P9" s="513">
        <v>2283.84</v>
      </c>
      <c r="Q9" s="514">
        <v>45336</v>
      </c>
      <c r="R9" s="515"/>
      <c r="S9" s="513"/>
      <c r="T9" s="513"/>
      <c r="U9" s="659"/>
      <c r="V9" s="665"/>
      <c r="W9" s="668"/>
      <c r="X9" s="106">
        <v>23</v>
      </c>
    </row>
    <row r="10" spans="1:24" s="146" customFormat="1" x14ac:dyDescent="0.3">
      <c r="A10" s="703"/>
      <c r="B10" s="663"/>
      <c r="C10" s="663"/>
      <c r="D10" s="663"/>
      <c r="E10" s="733"/>
      <c r="F10" s="657"/>
      <c r="G10" s="663"/>
      <c r="H10" s="735"/>
      <c r="I10" s="736"/>
      <c r="J10" s="663"/>
      <c r="K10" s="663"/>
      <c r="L10" s="663"/>
      <c r="M10" s="663"/>
      <c r="N10" s="523">
        <v>45351</v>
      </c>
      <c r="O10" s="657"/>
      <c r="P10" s="516">
        <v>2283.84</v>
      </c>
      <c r="Q10" s="517">
        <v>45351</v>
      </c>
      <c r="R10" s="518"/>
      <c r="S10" s="516"/>
      <c r="T10" s="516"/>
      <c r="U10" s="660"/>
      <c r="V10" s="666"/>
      <c r="W10" s="669"/>
      <c r="X10" s="146">
        <v>23</v>
      </c>
    </row>
    <row r="11" spans="1:24" s="200" customFormat="1" x14ac:dyDescent="0.3">
      <c r="A11" s="703"/>
      <c r="B11" s="663"/>
      <c r="C11" s="663"/>
      <c r="D11" s="663"/>
      <c r="E11" s="733"/>
      <c r="F11" s="657"/>
      <c r="G11" s="663"/>
      <c r="H11" s="735"/>
      <c r="I11" s="736"/>
      <c r="J11" s="663"/>
      <c r="K11" s="663"/>
      <c r="L11" s="663"/>
      <c r="M11" s="663"/>
      <c r="N11" s="523">
        <v>45382</v>
      </c>
      <c r="O11" s="657"/>
      <c r="P11" s="516">
        <v>2283.84</v>
      </c>
      <c r="Q11" s="517">
        <v>45383</v>
      </c>
      <c r="R11" s="518"/>
      <c r="S11" s="516"/>
      <c r="T11" s="516"/>
      <c r="U11" s="660"/>
      <c r="V11" s="666"/>
      <c r="W11" s="669"/>
      <c r="X11" s="200">
        <v>23</v>
      </c>
    </row>
    <row r="12" spans="1:24" s="263" customFormat="1" x14ac:dyDescent="0.3">
      <c r="A12" s="703"/>
      <c r="B12" s="663"/>
      <c r="C12" s="663"/>
      <c r="D12" s="663"/>
      <c r="E12" s="733"/>
      <c r="F12" s="657"/>
      <c r="G12" s="663"/>
      <c r="H12" s="735"/>
      <c r="I12" s="736"/>
      <c r="J12" s="663"/>
      <c r="K12" s="663"/>
      <c r="L12" s="663"/>
      <c r="M12" s="663"/>
      <c r="N12" s="523">
        <v>45409</v>
      </c>
      <c r="O12" s="657"/>
      <c r="P12" s="516">
        <v>2283.84</v>
      </c>
      <c r="Q12" s="517">
        <v>45419</v>
      </c>
      <c r="R12" s="518"/>
      <c r="S12" s="516"/>
      <c r="T12" s="516"/>
      <c r="U12" s="660"/>
      <c r="V12" s="666"/>
      <c r="W12" s="669"/>
      <c r="X12" s="263">
        <v>23</v>
      </c>
    </row>
    <row r="13" spans="1:24" s="263" customFormat="1" x14ac:dyDescent="0.3">
      <c r="A13" s="703"/>
      <c r="B13" s="663"/>
      <c r="C13" s="663"/>
      <c r="D13" s="663"/>
      <c r="E13" s="733"/>
      <c r="F13" s="657"/>
      <c r="G13" s="663"/>
      <c r="H13" s="735"/>
      <c r="I13" s="736"/>
      <c r="J13" s="663"/>
      <c r="K13" s="663"/>
      <c r="L13" s="663"/>
      <c r="M13" s="663"/>
      <c r="N13" s="523">
        <v>45443</v>
      </c>
      <c r="O13" s="657"/>
      <c r="P13" s="516">
        <v>2283.84</v>
      </c>
      <c r="Q13" s="517">
        <v>45443</v>
      </c>
      <c r="R13" s="518"/>
      <c r="S13" s="516"/>
      <c r="T13" s="516"/>
      <c r="U13" s="660"/>
      <c r="V13" s="666"/>
      <c r="W13" s="669"/>
      <c r="X13" s="263">
        <v>23</v>
      </c>
    </row>
    <row r="14" spans="1:24" s="303" customFormat="1" x14ac:dyDescent="0.3">
      <c r="A14" s="703"/>
      <c r="B14" s="663"/>
      <c r="C14" s="663"/>
      <c r="D14" s="663"/>
      <c r="E14" s="733"/>
      <c r="F14" s="657"/>
      <c r="G14" s="663"/>
      <c r="H14" s="735"/>
      <c r="I14" s="736"/>
      <c r="J14" s="663"/>
      <c r="K14" s="663"/>
      <c r="L14" s="663"/>
      <c r="M14" s="663"/>
      <c r="N14" s="523">
        <v>45471</v>
      </c>
      <c r="O14" s="657"/>
      <c r="P14" s="516">
        <v>2283.84</v>
      </c>
      <c r="Q14" s="517">
        <v>45475</v>
      </c>
      <c r="R14" s="518"/>
      <c r="S14" s="516"/>
      <c r="T14" s="516"/>
      <c r="U14" s="660"/>
      <c r="V14" s="666"/>
      <c r="W14" s="669"/>
      <c r="X14" s="303">
        <v>23</v>
      </c>
    </row>
    <row r="15" spans="1:24" s="303" customFormat="1" x14ac:dyDescent="0.3">
      <c r="A15" s="703"/>
      <c r="B15" s="663"/>
      <c r="C15" s="663"/>
      <c r="D15" s="663"/>
      <c r="E15" s="733"/>
      <c r="F15" s="657"/>
      <c r="G15" s="663"/>
      <c r="H15" s="735"/>
      <c r="I15" s="736"/>
      <c r="J15" s="663"/>
      <c r="K15" s="663"/>
      <c r="L15" s="663"/>
      <c r="M15" s="663"/>
      <c r="N15" s="523">
        <v>45504</v>
      </c>
      <c r="O15" s="657"/>
      <c r="P15" s="516">
        <v>2283.84</v>
      </c>
      <c r="Q15" s="517">
        <v>45504</v>
      </c>
      <c r="R15" s="518"/>
      <c r="S15" s="516"/>
      <c r="T15" s="516"/>
      <c r="U15" s="660"/>
      <c r="V15" s="666"/>
      <c r="W15" s="669"/>
      <c r="X15" s="303">
        <v>23</v>
      </c>
    </row>
    <row r="16" spans="1:24" s="309" customFormat="1" x14ac:dyDescent="0.3">
      <c r="A16" s="703"/>
      <c r="B16" s="663"/>
      <c r="C16" s="663"/>
      <c r="D16" s="663"/>
      <c r="E16" s="733"/>
      <c r="F16" s="657"/>
      <c r="G16" s="663"/>
      <c r="H16" s="735"/>
      <c r="I16" s="736"/>
      <c r="J16" s="663"/>
      <c r="K16" s="663"/>
      <c r="L16" s="663"/>
      <c r="M16" s="663"/>
      <c r="N16" s="523">
        <v>45534</v>
      </c>
      <c r="O16" s="657"/>
      <c r="P16" s="516">
        <v>2283.84</v>
      </c>
      <c r="Q16" s="517">
        <v>45534</v>
      </c>
      <c r="R16" s="518"/>
      <c r="S16" s="516"/>
      <c r="T16" s="516"/>
      <c r="U16" s="660"/>
      <c r="V16" s="666"/>
      <c r="W16" s="669"/>
      <c r="X16" s="309">
        <v>23</v>
      </c>
    </row>
    <row r="17" spans="1:24" s="461" customFormat="1" x14ac:dyDescent="0.3">
      <c r="A17" s="703"/>
      <c r="B17" s="663"/>
      <c r="C17" s="663"/>
      <c r="D17" s="663"/>
      <c r="E17" s="733"/>
      <c r="F17" s="657"/>
      <c r="G17" s="663"/>
      <c r="H17" s="735"/>
      <c r="I17" s="736"/>
      <c r="J17" s="663"/>
      <c r="K17" s="663"/>
      <c r="L17" s="663"/>
      <c r="M17" s="663"/>
      <c r="N17" s="523">
        <v>45565</v>
      </c>
      <c r="O17" s="657"/>
      <c r="P17" s="516">
        <v>2283.84</v>
      </c>
      <c r="Q17" s="517">
        <v>45609</v>
      </c>
      <c r="R17" s="518"/>
      <c r="S17" s="516"/>
      <c r="T17" s="516"/>
      <c r="U17" s="660"/>
      <c r="V17" s="666"/>
      <c r="W17" s="669"/>
      <c r="X17" s="461">
        <v>23</v>
      </c>
    </row>
    <row r="18" spans="1:24" s="461" customFormat="1" x14ac:dyDescent="0.3">
      <c r="A18" s="703"/>
      <c r="B18" s="663"/>
      <c r="C18" s="663"/>
      <c r="D18" s="663"/>
      <c r="E18" s="733"/>
      <c r="F18" s="657"/>
      <c r="G18" s="663"/>
      <c r="H18" s="735"/>
      <c r="I18" s="736"/>
      <c r="J18" s="663"/>
      <c r="K18" s="663"/>
      <c r="L18" s="663"/>
      <c r="M18" s="663"/>
      <c r="N18" s="523">
        <v>45596</v>
      </c>
      <c r="O18" s="657"/>
      <c r="P18" s="516">
        <v>2283.84</v>
      </c>
      <c r="Q18" s="517">
        <v>45597</v>
      </c>
      <c r="R18" s="518"/>
      <c r="S18" s="516"/>
      <c r="T18" s="516"/>
      <c r="U18" s="660"/>
      <c r="V18" s="666"/>
      <c r="W18" s="669"/>
      <c r="X18" s="461">
        <v>23</v>
      </c>
    </row>
    <row r="19" spans="1:24" s="511" customFormat="1" x14ac:dyDescent="0.3">
      <c r="A19" s="704"/>
      <c r="B19" s="664"/>
      <c r="C19" s="664"/>
      <c r="D19" s="664"/>
      <c r="E19" s="734"/>
      <c r="F19" s="658"/>
      <c r="G19" s="664"/>
      <c r="H19" s="727"/>
      <c r="I19" s="729"/>
      <c r="J19" s="664"/>
      <c r="K19" s="664"/>
      <c r="L19" s="664"/>
      <c r="M19" s="664"/>
      <c r="N19" s="524">
        <v>45625</v>
      </c>
      <c r="O19" s="658"/>
      <c r="P19" s="519">
        <v>2283.84</v>
      </c>
      <c r="Q19" s="520">
        <v>45636</v>
      </c>
      <c r="R19" s="521"/>
      <c r="S19" s="519"/>
      <c r="T19" s="519"/>
      <c r="U19" s="661"/>
      <c r="V19" s="667"/>
      <c r="W19" s="670"/>
      <c r="X19" s="511">
        <v>23</v>
      </c>
    </row>
    <row r="20" spans="1:24" s="106" customFormat="1" ht="144" customHeight="1" x14ac:dyDescent="0.3">
      <c r="A20" s="702">
        <v>2</v>
      </c>
      <c r="B20" s="662" t="s">
        <v>56</v>
      </c>
      <c r="C20" s="662" t="s">
        <v>146</v>
      </c>
      <c r="D20" s="662" t="s">
        <v>147</v>
      </c>
      <c r="E20" s="732">
        <v>166</v>
      </c>
      <c r="F20" s="656">
        <v>45279</v>
      </c>
      <c r="G20" s="662" t="s">
        <v>179</v>
      </c>
      <c r="H20" s="726">
        <v>15632.19</v>
      </c>
      <c r="I20" s="728">
        <f>IF(X20 = 24, H20 + SUM(S20:S37) - SUM(T20:T37) - SUM(P20:P37) - V20,0)</f>
        <v>1774.7299999999977</v>
      </c>
      <c r="J20" s="662" t="s">
        <v>180</v>
      </c>
      <c r="K20" s="662" t="s">
        <v>161</v>
      </c>
      <c r="L20" s="662" t="s">
        <v>146</v>
      </c>
      <c r="M20" s="662"/>
      <c r="N20" s="522">
        <v>45322</v>
      </c>
      <c r="O20" s="656" t="s">
        <v>165</v>
      </c>
      <c r="P20" s="513">
        <v>1075.75</v>
      </c>
      <c r="Q20" s="514">
        <v>45330</v>
      </c>
      <c r="R20" s="515"/>
      <c r="S20" s="513"/>
      <c r="T20" s="513"/>
      <c r="U20" s="659"/>
      <c r="V20" s="665"/>
      <c r="W20" s="668"/>
      <c r="X20" s="106">
        <v>24</v>
      </c>
    </row>
    <row r="21" spans="1:24" s="175" customFormat="1" x14ac:dyDescent="0.3">
      <c r="A21" s="703"/>
      <c r="B21" s="663"/>
      <c r="C21" s="663"/>
      <c r="D21" s="663"/>
      <c r="E21" s="733"/>
      <c r="F21" s="657"/>
      <c r="G21" s="663"/>
      <c r="H21" s="735"/>
      <c r="I21" s="736"/>
      <c r="J21" s="663"/>
      <c r="K21" s="663"/>
      <c r="L21" s="663"/>
      <c r="M21" s="663"/>
      <c r="N21" s="523">
        <v>45351</v>
      </c>
      <c r="O21" s="657"/>
      <c r="P21" s="516">
        <v>1175.5</v>
      </c>
      <c r="Q21" s="517">
        <v>45363</v>
      </c>
      <c r="R21" s="518"/>
      <c r="S21" s="516"/>
      <c r="T21" s="516"/>
      <c r="U21" s="660"/>
      <c r="V21" s="666"/>
      <c r="W21" s="669"/>
      <c r="X21" s="175">
        <v>24</v>
      </c>
    </row>
    <row r="22" spans="1:24" s="175" customFormat="1" x14ac:dyDescent="0.3">
      <c r="A22" s="703"/>
      <c r="B22" s="663"/>
      <c r="C22" s="663"/>
      <c r="D22" s="663"/>
      <c r="E22" s="733"/>
      <c r="F22" s="657"/>
      <c r="G22" s="663"/>
      <c r="H22" s="735"/>
      <c r="I22" s="736"/>
      <c r="J22" s="663"/>
      <c r="K22" s="663"/>
      <c r="L22" s="663"/>
      <c r="M22" s="663"/>
      <c r="N22" s="523">
        <v>45351</v>
      </c>
      <c r="O22" s="657"/>
      <c r="P22" s="516">
        <v>87</v>
      </c>
      <c r="Q22" s="517">
        <v>45363</v>
      </c>
      <c r="R22" s="518"/>
      <c r="S22" s="516"/>
      <c r="T22" s="516"/>
      <c r="U22" s="660"/>
      <c r="V22" s="666"/>
      <c r="W22" s="669"/>
      <c r="X22" s="175">
        <v>24</v>
      </c>
    </row>
    <row r="23" spans="1:24" s="200" customFormat="1" x14ac:dyDescent="0.3">
      <c r="A23" s="703"/>
      <c r="B23" s="663"/>
      <c r="C23" s="663"/>
      <c r="D23" s="663"/>
      <c r="E23" s="733"/>
      <c r="F23" s="657"/>
      <c r="G23" s="663"/>
      <c r="H23" s="735"/>
      <c r="I23" s="736"/>
      <c r="J23" s="663"/>
      <c r="K23" s="663"/>
      <c r="L23" s="663"/>
      <c r="M23" s="663"/>
      <c r="N23" s="523">
        <v>45382</v>
      </c>
      <c r="O23" s="657"/>
      <c r="P23" s="516">
        <v>1277.6600000000001</v>
      </c>
      <c r="Q23" s="517">
        <v>45386</v>
      </c>
      <c r="R23" s="518"/>
      <c r="S23" s="516"/>
      <c r="T23" s="516"/>
      <c r="U23" s="660"/>
      <c r="V23" s="666"/>
      <c r="W23" s="669"/>
      <c r="X23" s="200">
        <v>24</v>
      </c>
    </row>
    <row r="24" spans="1:24" s="263" customFormat="1" x14ac:dyDescent="0.3">
      <c r="A24" s="703"/>
      <c r="B24" s="663"/>
      <c r="C24" s="663"/>
      <c r="D24" s="663"/>
      <c r="E24" s="733"/>
      <c r="F24" s="657"/>
      <c r="G24" s="663"/>
      <c r="H24" s="735"/>
      <c r="I24" s="736"/>
      <c r="J24" s="663"/>
      <c r="K24" s="663"/>
      <c r="L24" s="663"/>
      <c r="M24" s="663"/>
      <c r="N24" s="523">
        <v>45412</v>
      </c>
      <c r="O24" s="657"/>
      <c r="P24" s="516">
        <v>1149.5899999999999</v>
      </c>
      <c r="Q24" s="517">
        <v>45419</v>
      </c>
      <c r="R24" s="518"/>
      <c r="S24" s="516"/>
      <c r="T24" s="516"/>
      <c r="U24" s="660"/>
      <c r="V24" s="666"/>
      <c r="W24" s="669"/>
      <c r="X24" s="263">
        <v>24</v>
      </c>
    </row>
    <row r="25" spans="1:24" s="263" customFormat="1" x14ac:dyDescent="0.3">
      <c r="A25" s="703"/>
      <c r="B25" s="663"/>
      <c r="C25" s="663"/>
      <c r="D25" s="663"/>
      <c r="E25" s="733"/>
      <c r="F25" s="657"/>
      <c r="G25" s="663"/>
      <c r="H25" s="735"/>
      <c r="I25" s="736"/>
      <c r="J25" s="663"/>
      <c r="K25" s="663"/>
      <c r="L25" s="663"/>
      <c r="M25" s="663"/>
      <c r="N25" s="523">
        <v>45412</v>
      </c>
      <c r="O25" s="657"/>
      <c r="P25" s="516">
        <v>31.68</v>
      </c>
      <c r="Q25" s="517">
        <v>45419</v>
      </c>
      <c r="R25" s="518"/>
      <c r="S25" s="516"/>
      <c r="T25" s="516"/>
      <c r="U25" s="660"/>
      <c r="V25" s="666"/>
      <c r="W25" s="669"/>
      <c r="X25" s="263">
        <v>24</v>
      </c>
    </row>
    <row r="26" spans="1:24" s="267" customFormat="1" x14ac:dyDescent="0.3">
      <c r="A26" s="703"/>
      <c r="B26" s="663"/>
      <c r="C26" s="663"/>
      <c r="D26" s="663"/>
      <c r="E26" s="733"/>
      <c r="F26" s="657"/>
      <c r="G26" s="663"/>
      <c r="H26" s="735"/>
      <c r="I26" s="736"/>
      <c r="J26" s="663"/>
      <c r="K26" s="663"/>
      <c r="L26" s="663"/>
      <c r="M26" s="663"/>
      <c r="N26" s="523">
        <v>45443</v>
      </c>
      <c r="O26" s="657"/>
      <c r="P26" s="516">
        <v>1192.24</v>
      </c>
      <c r="Q26" s="517">
        <v>45454</v>
      </c>
      <c r="R26" s="518"/>
      <c r="S26" s="516"/>
      <c r="T26" s="516"/>
      <c r="U26" s="660"/>
      <c r="V26" s="666"/>
      <c r="W26" s="669"/>
      <c r="X26" s="267">
        <v>24</v>
      </c>
    </row>
    <row r="27" spans="1:24" s="267" customFormat="1" x14ac:dyDescent="0.3">
      <c r="A27" s="703"/>
      <c r="B27" s="663"/>
      <c r="C27" s="663"/>
      <c r="D27" s="663"/>
      <c r="E27" s="733"/>
      <c r="F27" s="657"/>
      <c r="G27" s="663"/>
      <c r="H27" s="735"/>
      <c r="I27" s="736"/>
      <c r="J27" s="663"/>
      <c r="K27" s="663"/>
      <c r="L27" s="663"/>
      <c r="M27" s="663"/>
      <c r="N27" s="523">
        <v>45473</v>
      </c>
      <c r="O27" s="657"/>
      <c r="P27" s="516">
        <v>1352.94</v>
      </c>
      <c r="Q27" s="517">
        <v>45481</v>
      </c>
      <c r="R27" s="518"/>
      <c r="S27" s="516"/>
      <c r="T27" s="516"/>
      <c r="U27" s="660"/>
      <c r="V27" s="666"/>
      <c r="W27" s="669"/>
      <c r="X27" s="267">
        <v>24</v>
      </c>
    </row>
    <row r="28" spans="1:24" s="309" customFormat="1" x14ac:dyDescent="0.3">
      <c r="A28" s="703"/>
      <c r="B28" s="663"/>
      <c r="C28" s="663"/>
      <c r="D28" s="663"/>
      <c r="E28" s="733"/>
      <c r="F28" s="657"/>
      <c r="G28" s="663"/>
      <c r="H28" s="735"/>
      <c r="I28" s="736"/>
      <c r="J28" s="663"/>
      <c r="K28" s="663"/>
      <c r="L28" s="663"/>
      <c r="M28" s="663"/>
      <c r="N28" s="523">
        <v>45504</v>
      </c>
      <c r="O28" s="657"/>
      <c r="P28" s="516">
        <v>143.93</v>
      </c>
      <c r="Q28" s="517">
        <v>45512</v>
      </c>
      <c r="R28" s="518"/>
      <c r="S28" s="516"/>
      <c r="T28" s="516"/>
      <c r="U28" s="660"/>
      <c r="V28" s="666"/>
      <c r="W28" s="669"/>
      <c r="X28" s="309">
        <v>24</v>
      </c>
    </row>
    <row r="29" spans="1:24" s="309" customFormat="1" x14ac:dyDescent="0.3">
      <c r="A29" s="703"/>
      <c r="B29" s="663"/>
      <c r="C29" s="663"/>
      <c r="D29" s="663"/>
      <c r="E29" s="733"/>
      <c r="F29" s="657"/>
      <c r="G29" s="663"/>
      <c r="H29" s="735"/>
      <c r="I29" s="736"/>
      <c r="J29" s="663"/>
      <c r="K29" s="663"/>
      <c r="L29" s="663"/>
      <c r="M29" s="663"/>
      <c r="N29" s="523">
        <v>45504</v>
      </c>
      <c r="O29" s="657"/>
      <c r="P29" s="516">
        <v>1237.49</v>
      </c>
      <c r="Q29" s="517">
        <v>45512</v>
      </c>
      <c r="R29" s="518"/>
      <c r="S29" s="516"/>
      <c r="T29" s="516"/>
      <c r="U29" s="660"/>
      <c r="V29" s="666"/>
      <c r="W29" s="669"/>
      <c r="X29" s="309">
        <v>24</v>
      </c>
    </row>
    <row r="30" spans="1:24" s="345" customFormat="1" x14ac:dyDescent="0.3">
      <c r="A30" s="703"/>
      <c r="B30" s="663"/>
      <c r="C30" s="663"/>
      <c r="D30" s="663"/>
      <c r="E30" s="733"/>
      <c r="F30" s="657"/>
      <c r="G30" s="663"/>
      <c r="H30" s="735"/>
      <c r="I30" s="736"/>
      <c r="J30" s="663"/>
      <c r="K30" s="663"/>
      <c r="L30" s="663"/>
      <c r="M30" s="663"/>
      <c r="N30" s="523">
        <v>45535</v>
      </c>
      <c r="O30" s="657"/>
      <c r="P30" s="516">
        <v>1085.21</v>
      </c>
      <c r="Q30" s="517">
        <v>45540</v>
      </c>
      <c r="R30" s="518"/>
      <c r="S30" s="516"/>
      <c r="T30" s="516"/>
      <c r="U30" s="660"/>
      <c r="V30" s="666"/>
      <c r="W30" s="669"/>
      <c r="X30" s="345">
        <v>24</v>
      </c>
    </row>
    <row r="31" spans="1:24" s="345" customFormat="1" x14ac:dyDescent="0.3">
      <c r="A31" s="703"/>
      <c r="B31" s="663"/>
      <c r="C31" s="663"/>
      <c r="D31" s="663"/>
      <c r="E31" s="733"/>
      <c r="F31" s="657"/>
      <c r="G31" s="663"/>
      <c r="H31" s="735"/>
      <c r="I31" s="736"/>
      <c r="J31" s="663"/>
      <c r="K31" s="663"/>
      <c r="L31" s="663"/>
      <c r="M31" s="663"/>
      <c r="N31" s="523">
        <v>45535</v>
      </c>
      <c r="O31" s="657"/>
      <c r="P31" s="516">
        <v>31.03</v>
      </c>
      <c r="Q31" s="517">
        <v>45540</v>
      </c>
      <c r="R31" s="518"/>
      <c r="S31" s="516"/>
      <c r="T31" s="516"/>
      <c r="U31" s="660"/>
      <c r="V31" s="666"/>
      <c r="W31" s="669"/>
      <c r="X31" s="345">
        <v>24</v>
      </c>
    </row>
    <row r="32" spans="1:24" s="377" customFormat="1" x14ac:dyDescent="0.3">
      <c r="A32" s="703"/>
      <c r="B32" s="663"/>
      <c r="C32" s="663"/>
      <c r="D32" s="663"/>
      <c r="E32" s="733"/>
      <c r="F32" s="657"/>
      <c r="G32" s="663"/>
      <c r="H32" s="735"/>
      <c r="I32" s="736"/>
      <c r="J32" s="663"/>
      <c r="K32" s="663"/>
      <c r="L32" s="663"/>
      <c r="M32" s="663"/>
      <c r="N32" s="523">
        <v>45565</v>
      </c>
      <c r="O32" s="657"/>
      <c r="P32" s="516">
        <v>1111.02</v>
      </c>
      <c r="Q32" s="517">
        <v>45569</v>
      </c>
      <c r="R32" s="518"/>
      <c r="S32" s="516"/>
      <c r="T32" s="516"/>
      <c r="U32" s="660"/>
      <c r="V32" s="666"/>
      <c r="W32" s="669"/>
      <c r="X32" s="377">
        <v>24</v>
      </c>
    </row>
    <row r="33" spans="1:24" s="377" customFormat="1" x14ac:dyDescent="0.3">
      <c r="A33" s="703"/>
      <c r="B33" s="663"/>
      <c r="C33" s="663"/>
      <c r="D33" s="663"/>
      <c r="E33" s="733"/>
      <c r="F33" s="657"/>
      <c r="G33" s="663"/>
      <c r="H33" s="735"/>
      <c r="I33" s="736"/>
      <c r="J33" s="663"/>
      <c r="K33" s="663"/>
      <c r="L33" s="663"/>
      <c r="M33" s="663"/>
      <c r="N33" s="523">
        <v>45565</v>
      </c>
      <c r="O33" s="657"/>
      <c r="P33" s="516">
        <v>167.04</v>
      </c>
      <c r="Q33" s="517">
        <v>45569</v>
      </c>
      <c r="R33" s="518"/>
      <c r="S33" s="516"/>
      <c r="T33" s="516"/>
      <c r="U33" s="660"/>
      <c r="V33" s="666"/>
      <c r="W33" s="669"/>
      <c r="X33" s="377">
        <v>24</v>
      </c>
    </row>
    <row r="34" spans="1:24" s="461" customFormat="1" x14ac:dyDescent="0.3">
      <c r="A34" s="703"/>
      <c r="B34" s="663"/>
      <c r="C34" s="663"/>
      <c r="D34" s="663"/>
      <c r="E34" s="733"/>
      <c r="F34" s="657"/>
      <c r="G34" s="663"/>
      <c r="H34" s="735"/>
      <c r="I34" s="736"/>
      <c r="J34" s="663"/>
      <c r="K34" s="663"/>
      <c r="L34" s="663"/>
      <c r="M34" s="663"/>
      <c r="N34" s="523">
        <v>45596</v>
      </c>
      <c r="O34" s="657"/>
      <c r="P34" s="516">
        <v>1175.5999999999999</v>
      </c>
      <c r="Q34" s="517">
        <v>45602</v>
      </c>
      <c r="R34" s="518"/>
      <c r="S34" s="516"/>
      <c r="T34" s="516"/>
      <c r="U34" s="660"/>
      <c r="V34" s="666"/>
      <c r="W34" s="669"/>
      <c r="X34" s="461">
        <v>24</v>
      </c>
    </row>
    <row r="35" spans="1:24" s="461" customFormat="1" x14ac:dyDescent="0.3">
      <c r="A35" s="703"/>
      <c r="B35" s="663"/>
      <c r="C35" s="663"/>
      <c r="D35" s="663"/>
      <c r="E35" s="733"/>
      <c r="F35" s="657"/>
      <c r="G35" s="663"/>
      <c r="H35" s="735"/>
      <c r="I35" s="736"/>
      <c r="J35" s="663"/>
      <c r="K35" s="663"/>
      <c r="L35" s="663"/>
      <c r="M35" s="663"/>
      <c r="N35" s="523">
        <v>45596</v>
      </c>
      <c r="O35" s="657"/>
      <c r="P35" s="516">
        <v>48.96</v>
      </c>
      <c r="Q35" s="517">
        <v>45602</v>
      </c>
      <c r="R35" s="518"/>
      <c r="S35" s="516"/>
      <c r="T35" s="516"/>
      <c r="U35" s="660"/>
      <c r="V35" s="666"/>
      <c r="W35" s="669"/>
      <c r="X35" s="461">
        <v>24</v>
      </c>
    </row>
    <row r="36" spans="1:24" s="511" customFormat="1" x14ac:dyDescent="0.3">
      <c r="A36" s="703"/>
      <c r="B36" s="663"/>
      <c r="C36" s="663"/>
      <c r="D36" s="663"/>
      <c r="E36" s="733"/>
      <c r="F36" s="657"/>
      <c r="G36" s="663"/>
      <c r="H36" s="735"/>
      <c r="I36" s="736"/>
      <c r="J36" s="663"/>
      <c r="K36" s="663"/>
      <c r="L36" s="663"/>
      <c r="M36" s="663"/>
      <c r="N36" s="523">
        <v>45626</v>
      </c>
      <c r="O36" s="657"/>
      <c r="P36" s="516">
        <v>1456.14</v>
      </c>
      <c r="Q36" s="517">
        <v>45632</v>
      </c>
      <c r="R36" s="518"/>
      <c r="S36" s="516"/>
      <c r="T36" s="516"/>
      <c r="U36" s="660"/>
      <c r="V36" s="666"/>
      <c r="W36" s="669"/>
      <c r="X36" s="511">
        <v>24</v>
      </c>
    </row>
    <row r="37" spans="1:24" s="511" customFormat="1" x14ac:dyDescent="0.3">
      <c r="A37" s="704"/>
      <c r="B37" s="664"/>
      <c r="C37" s="664"/>
      <c r="D37" s="664"/>
      <c r="E37" s="734"/>
      <c r="F37" s="658"/>
      <c r="G37" s="664"/>
      <c r="H37" s="727"/>
      <c r="I37" s="729"/>
      <c r="J37" s="664"/>
      <c r="K37" s="664"/>
      <c r="L37" s="664"/>
      <c r="M37" s="664"/>
      <c r="N37" s="524">
        <v>45626</v>
      </c>
      <c r="O37" s="658"/>
      <c r="P37" s="519">
        <v>58.68</v>
      </c>
      <c r="Q37" s="520">
        <v>45632</v>
      </c>
      <c r="R37" s="521"/>
      <c r="S37" s="519"/>
      <c r="T37" s="519"/>
      <c r="U37" s="661"/>
      <c r="V37" s="667"/>
      <c r="W37" s="670"/>
      <c r="X37" s="511">
        <v>24</v>
      </c>
    </row>
    <row r="38" spans="1:24" s="106" customFormat="1" ht="144" x14ac:dyDescent="0.3">
      <c r="A38" s="110">
        <v>3</v>
      </c>
      <c r="B38" s="111" t="s">
        <v>56</v>
      </c>
      <c r="C38" s="111" t="s">
        <v>146</v>
      </c>
      <c r="D38" s="111" t="s">
        <v>147</v>
      </c>
      <c r="E38" s="112" t="s">
        <v>206</v>
      </c>
      <c r="F38" s="119">
        <v>45314</v>
      </c>
      <c r="G38" s="111" t="s">
        <v>207</v>
      </c>
      <c r="H38" s="543">
        <v>8200</v>
      </c>
      <c r="I38" s="114">
        <f>IF(X38 = 26, H38 + SUM(S38:S38) - SUM(T38:T38) - SUM(P38:P38) - V38,0)</f>
        <v>0</v>
      </c>
      <c r="J38" s="111" t="s">
        <v>208</v>
      </c>
      <c r="K38" s="111" t="s">
        <v>209</v>
      </c>
      <c r="L38" s="111" t="s">
        <v>146</v>
      </c>
      <c r="M38" s="111"/>
      <c r="N38" s="119"/>
      <c r="O38" s="119" t="s">
        <v>194</v>
      </c>
      <c r="P38" s="113">
        <v>8200</v>
      </c>
      <c r="Q38" s="112">
        <v>45315</v>
      </c>
      <c r="R38" s="111"/>
      <c r="S38" s="113"/>
      <c r="T38" s="113"/>
      <c r="U38" s="113"/>
      <c r="V38" s="124"/>
      <c r="W38" s="118"/>
      <c r="X38" s="106">
        <v>26</v>
      </c>
    </row>
    <row r="39" spans="1:24" s="106" customFormat="1" ht="18" customHeight="1" x14ac:dyDescent="0.3">
      <c r="A39" s="131">
        <v>4</v>
      </c>
      <c r="B39" s="126" t="s">
        <v>56</v>
      </c>
      <c r="C39" s="126" t="s">
        <v>146</v>
      </c>
      <c r="D39" s="126" t="s">
        <v>147</v>
      </c>
      <c r="E39" s="141">
        <v>42</v>
      </c>
      <c r="F39" s="127">
        <v>45316</v>
      </c>
      <c r="G39" s="126" t="s">
        <v>210</v>
      </c>
      <c r="H39" s="544">
        <v>1400</v>
      </c>
      <c r="I39" s="132">
        <f>IF(X39 = 29, H39 + SUM(S39:S39) - SUM(T39:T39) - SUM(P39:P39) - V39,0)</f>
        <v>0</v>
      </c>
      <c r="J39" s="126" t="s">
        <v>159</v>
      </c>
      <c r="K39" s="126" t="s">
        <v>160</v>
      </c>
      <c r="L39" s="126" t="s">
        <v>146</v>
      </c>
      <c r="M39" s="126"/>
      <c r="N39" s="120"/>
      <c r="O39" s="127" t="s">
        <v>194</v>
      </c>
      <c r="P39" s="121">
        <v>1400</v>
      </c>
      <c r="Q39" s="122">
        <v>45322</v>
      </c>
      <c r="R39" s="123"/>
      <c r="S39" s="121"/>
      <c r="T39" s="121"/>
      <c r="U39" s="128"/>
      <c r="V39" s="129"/>
      <c r="W39" s="130"/>
      <c r="X39" s="106">
        <v>29</v>
      </c>
    </row>
    <row r="40" spans="1:24" s="106" customFormat="1" ht="144" x14ac:dyDescent="0.3">
      <c r="A40" s="110">
        <v>5</v>
      </c>
      <c r="B40" s="111" t="s">
        <v>56</v>
      </c>
      <c r="C40" s="111" t="s">
        <v>146</v>
      </c>
      <c r="D40" s="111" t="s">
        <v>147</v>
      </c>
      <c r="E40" s="125">
        <v>43</v>
      </c>
      <c r="F40" s="119">
        <v>45316</v>
      </c>
      <c r="G40" s="126" t="s">
        <v>210</v>
      </c>
      <c r="H40" s="544">
        <v>1400</v>
      </c>
      <c r="I40" s="114">
        <f>IF(X40 = 30, H40 + SUM(S40:S40) - SUM(T40:T40) - SUM(P40:P40) - V40,0)</f>
        <v>0</v>
      </c>
      <c r="J40" s="126" t="s">
        <v>159</v>
      </c>
      <c r="K40" s="126" t="s">
        <v>160</v>
      </c>
      <c r="L40" s="111" t="s">
        <v>146</v>
      </c>
      <c r="M40" s="111"/>
      <c r="N40" s="119"/>
      <c r="O40" s="119" t="s">
        <v>194</v>
      </c>
      <c r="P40" s="113">
        <v>1400</v>
      </c>
      <c r="Q40" s="112">
        <v>45322</v>
      </c>
      <c r="R40" s="111"/>
      <c r="S40" s="113"/>
      <c r="T40" s="113"/>
      <c r="U40" s="113"/>
      <c r="V40" s="124"/>
      <c r="W40" s="118"/>
      <c r="X40" s="106">
        <v>30</v>
      </c>
    </row>
    <row r="41" spans="1:24" s="106" customFormat="1" ht="144" x14ac:dyDescent="0.3">
      <c r="A41" s="110">
        <v>6</v>
      </c>
      <c r="B41" s="111" t="s">
        <v>56</v>
      </c>
      <c r="C41" s="111" t="s">
        <v>146</v>
      </c>
      <c r="D41" s="111" t="s">
        <v>147</v>
      </c>
      <c r="E41" s="125">
        <v>11</v>
      </c>
      <c r="F41" s="119">
        <v>45321</v>
      </c>
      <c r="G41" s="111" t="s">
        <v>212</v>
      </c>
      <c r="H41" s="543">
        <v>14450</v>
      </c>
      <c r="I41" s="114">
        <f>IF(X41 = 31, H41 + SUM(S41:S41) - SUM(T41:T41) - SUM(P41:P41) - V41,0)</f>
        <v>0</v>
      </c>
      <c r="J41" s="111" t="s">
        <v>213</v>
      </c>
      <c r="K41" s="111" t="s">
        <v>199</v>
      </c>
      <c r="L41" s="111" t="s">
        <v>146</v>
      </c>
      <c r="M41" s="111"/>
      <c r="N41" s="119"/>
      <c r="O41" s="119" t="s">
        <v>194</v>
      </c>
      <c r="P41" s="113">
        <v>14450</v>
      </c>
      <c r="Q41" s="112">
        <v>45322</v>
      </c>
      <c r="R41" s="111"/>
      <c r="S41" s="113"/>
      <c r="T41" s="113"/>
      <c r="U41" s="113"/>
      <c r="V41" s="124"/>
      <c r="W41" s="118"/>
      <c r="X41" s="106">
        <v>31</v>
      </c>
    </row>
    <row r="42" spans="1:24" s="106" customFormat="1" ht="144" x14ac:dyDescent="0.3">
      <c r="A42" s="110">
        <v>7</v>
      </c>
      <c r="B42" s="111" t="s">
        <v>56</v>
      </c>
      <c r="C42" s="111" t="s">
        <v>163</v>
      </c>
      <c r="D42" s="111" t="s">
        <v>147</v>
      </c>
      <c r="E42" s="125">
        <v>10</v>
      </c>
      <c r="F42" s="119">
        <v>45327</v>
      </c>
      <c r="G42" s="111" t="s">
        <v>59</v>
      </c>
      <c r="H42" s="543">
        <v>14400</v>
      </c>
      <c r="I42" s="114">
        <f>IF(X42 = 32, H42 + SUM(S42:S42) - SUM(T42:T42) - SUM(P42:P42) - V42,0)</f>
        <v>0</v>
      </c>
      <c r="J42" s="111" t="s">
        <v>214</v>
      </c>
      <c r="K42" s="111" t="s">
        <v>215</v>
      </c>
      <c r="L42" s="111" t="s">
        <v>146</v>
      </c>
      <c r="M42" s="111"/>
      <c r="N42" s="119"/>
      <c r="O42" s="119" t="s">
        <v>194</v>
      </c>
      <c r="P42" s="113">
        <v>14400</v>
      </c>
      <c r="Q42" s="112">
        <v>45334</v>
      </c>
      <c r="R42" s="111"/>
      <c r="S42" s="113"/>
      <c r="T42" s="113"/>
      <c r="U42" s="113"/>
      <c r="V42" s="124"/>
      <c r="W42" s="118"/>
      <c r="X42" s="106">
        <v>32</v>
      </c>
    </row>
    <row r="43" spans="1:24" s="106" customFormat="1" ht="144" x14ac:dyDescent="0.3">
      <c r="A43" s="133">
        <v>8</v>
      </c>
      <c r="B43" s="134" t="s">
        <v>56</v>
      </c>
      <c r="C43" s="134" t="s">
        <v>146</v>
      </c>
      <c r="D43" s="134" t="s">
        <v>147</v>
      </c>
      <c r="E43" s="139">
        <v>45336</v>
      </c>
      <c r="F43" s="145">
        <v>45336</v>
      </c>
      <c r="G43" s="134" t="s">
        <v>216</v>
      </c>
      <c r="H43" s="545">
        <v>6000</v>
      </c>
      <c r="I43" s="136">
        <f>IF(X43 = 33, H43 + SUM(S43:S43) - SUM(T43:T43) - SUM(P43:P43) - V43,0)</f>
        <v>0</v>
      </c>
      <c r="J43" s="134" t="s">
        <v>208</v>
      </c>
      <c r="K43" s="134" t="s">
        <v>209</v>
      </c>
      <c r="L43" s="134" t="s">
        <v>146</v>
      </c>
      <c r="M43" s="134"/>
      <c r="N43" s="145"/>
      <c r="O43" s="145" t="s">
        <v>194</v>
      </c>
      <c r="P43" s="135">
        <v>6000</v>
      </c>
      <c r="Q43" s="138">
        <v>45348</v>
      </c>
      <c r="R43" s="134"/>
      <c r="S43" s="135"/>
      <c r="T43" s="135"/>
      <c r="U43" s="135"/>
      <c r="V43" s="144"/>
      <c r="W43" s="137"/>
      <c r="X43" s="106">
        <v>33</v>
      </c>
    </row>
    <row r="44" spans="1:24" s="106" customFormat="1" ht="144" x14ac:dyDescent="0.3">
      <c r="A44" s="133">
        <v>9</v>
      </c>
      <c r="B44" s="134" t="s">
        <v>56</v>
      </c>
      <c r="C44" s="134" t="s">
        <v>146</v>
      </c>
      <c r="D44" s="134" t="s">
        <v>147</v>
      </c>
      <c r="E44" s="143">
        <v>139</v>
      </c>
      <c r="F44" s="145">
        <v>45337</v>
      </c>
      <c r="G44" s="134" t="s">
        <v>217</v>
      </c>
      <c r="H44" s="545">
        <v>7000</v>
      </c>
      <c r="I44" s="136">
        <f>IF(X44 = 34, H44 + SUM(S44:S44) - SUM(T44:T44) - SUM(P44:P44) - V44,0)</f>
        <v>0</v>
      </c>
      <c r="J44" s="134" t="s">
        <v>218</v>
      </c>
      <c r="K44" s="134" t="s">
        <v>219</v>
      </c>
      <c r="L44" s="134" t="s">
        <v>146</v>
      </c>
      <c r="M44" s="134"/>
      <c r="N44" s="145"/>
      <c r="O44" s="145" t="s">
        <v>194</v>
      </c>
      <c r="P44" s="135">
        <v>7000</v>
      </c>
      <c r="Q44" s="138">
        <v>45350</v>
      </c>
      <c r="R44" s="134"/>
      <c r="S44" s="135"/>
      <c r="T44" s="135"/>
      <c r="U44" s="135"/>
      <c r="V44" s="144"/>
      <c r="W44" s="137"/>
      <c r="X44" s="106">
        <v>34</v>
      </c>
    </row>
    <row r="45" spans="1:24" s="106" customFormat="1" ht="144" x14ac:dyDescent="0.3">
      <c r="A45" s="133">
        <v>10</v>
      </c>
      <c r="B45" s="134" t="s">
        <v>56</v>
      </c>
      <c r="C45" s="134" t="s">
        <v>146</v>
      </c>
      <c r="D45" s="134" t="s">
        <v>147</v>
      </c>
      <c r="E45" s="139">
        <v>45348</v>
      </c>
      <c r="F45" s="145">
        <v>45348</v>
      </c>
      <c r="G45" s="134" t="s">
        <v>216</v>
      </c>
      <c r="H45" s="545">
        <v>13100</v>
      </c>
      <c r="I45" s="136">
        <f>IF(X45 = 35, H45 + SUM(S45:S45) - SUM(T45:T45) - SUM(P45:P45) - V45,0)</f>
        <v>0</v>
      </c>
      <c r="J45" s="134" t="s">
        <v>208</v>
      </c>
      <c r="K45" s="134" t="s">
        <v>209</v>
      </c>
      <c r="L45" s="134" t="s">
        <v>146</v>
      </c>
      <c r="M45" s="134"/>
      <c r="N45" s="145"/>
      <c r="O45" s="145" t="s">
        <v>194</v>
      </c>
      <c r="P45" s="135">
        <v>13100</v>
      </c>
      <c r="Q45" s="138">
        <v>45351</v>
      </c>
      <c r="R45" s="134"/>
      <c r="S45" s="135"/>
      <c r="T45" s="135"/>
      <c r="U45" s="135"/>
      <c r="V45" s="144"/>
      <c r="W45" s="137"/>
      <c r="X45" s="106">
        <v>35</v>
      </c>
    </row>
    <row r="46" spans="1:24" s="106" customFormat="1" ht="144" customHeight="1" x14ac:dyDescent="0.3">
      <c r="A46" s="693">
        <v>11</v>
      </c>
      <c r="B46" s="647" t="s">
        <v>56</v>
      </c>
      <c r="C46" s="647" t="s">
        <v>146</v>
      </c>
      <c r="D46" s="647" t="s">
        <v>220</v>
      </c>
      <c r="E46" s="641" t="s">
        <v>222</v>
      </c>
      <c r="F46" s="641">
        <v>45351</v>
      </c>
      <c r="G46" s="647" t="s">
        <v>223</v>
      </c>
      <c r="H46" s="696">
        <v>3600</v>
      </c>
      <c r="I46" s="699">
        <f>IF(X46 = 36, H46 + SUM(S46:S48) - SUM(T46:T48) - SUM(P46:P48) - V46,0)</f>
        <v>0</v>
      </c>
      <c r="J46" s="647" t="s">
        <v>224</v>
      </c>
      <c r="K46" s="647" t="s">
        <v>157</v>
      </c>
      <c r="L46" s="647" t="s">
        <v>146</v>
      </c>
      <c r="M46" s="647"/>
      <c r="N46" s="397">
        <v>45382</v>
      </c>
      <c r="O46" s="641" t="s">
        <v>194</v>
      </c>
      <c r="P46" s="388">
        <v>600</v>
      </c>
      <c r="Q46" s="389">
        <v>45383</v>
      </c>
      <c r="R46" s="390"/>
      <c r="S46" s="388"/>
      <c r="T46" s="388"/>
      <c r="U46" s="644"/>
      <c r="V46" s="650"/>
      <c r="W46" s="653"/>
      <c r="X46" s="106">
        <v>36</v>
      </c>
    </row>
    <row r="47" spans="1:24" s="303" customFormat="1" x14ac:dyDescent="0.3">
      <c r="A47" s="694"/>
      <c r="B47" s="648"/>
      <c r="C47" s="648"/>
      <c r="D47" s="648"/>
      <c r="E47" s="642"/>
      <c r="F47" s="642"/>
      <c r="G47" s="648"/>
      <c r="H47" s="697"/>
      <c r="I47" s="700"/>
      <c r="J47" s="648"/>
      <c r="K47" s="648"/>
      <c r="L47" s="648"/>
      <c r="M47" s="648"/>
      <c r="N47" s="398">
        <v>45473</v>
      </c>
      <c r="O47" s="642"/>
      <c r="P47" s="391">
        <v>1800</v>
      </c>
      <c r="Q47" s="392">
        <v>45477</v>
      </c>
      <c r="R47" s="393"/>
      <c r="S47" s="391"/>
      <c r="T47" s="391"/>
      <c r="U47" s="645"/>
      <c r="V47" s="651"/>
      <c r="W47" s="654"/>
      <c r="X47" s="303">
        <v>36</v>
      </c>
    </row>
    <row r="48" spans="1:24" s="377" customFormat="1" x14ac:dyDescent="0.3">
      <c r="A48" s="695"/>
      <c r="B48" s="649"/>
      <c r="C48" s="649"/>
      <c r="D48" s="649"/>
      <c r="E48" s="643"/>
      <c r="F48" s="643"/>
      <c r="G48" s="649"/>
      <c r="H48" s="698"/>
      <c r="I48" s="701"/>
      <c r="J48" s="649"/>
      <c r="K48" s="649"/>
      <c r="L48" s="649"/>
      <c r="M48" s="649"/>
      <c r="N48" s="399">
        <v>45565</v>
      </c>
      <c r="O48" s="643"/>
      <c r="P48" s="394">
        <v>1200</v>
      </c>
      <c r="Q48" s="395">
        <v>45572</v>
      </c>
      <c r="R48" s="396"/>
      <c r="S48" s="394"/>
      <c r="T48" s="394"/>
      <c r="U48" s="646"/>
      <c r="V48" s="652"/>
      <c r="W48" s="655"/>
      <c r="X48" s="377">
        <v>36</v>
      </c>
    </row>
    <row r="49" spans="1:24" s="106" customFormat="1" ht="144" customHeight="1" x14ac:dyDescent="0.3">
      <c r="A49" s="702">
        <v>12</v>
      </c>
      <c r="B49" s="662" t="s">
        <v>56</v>
      </c>
      <c r="C49" s="662" t="s">
        <v>146</v>
      </c>
      <c r="D49" s="662" t="s">
        <v>147</v>
      </c>
      <c r="E49" s="656">
        <v>210012514659</v>
      </c>
      <c r="F49" s="656">
        <v>45356</v>
      </c>
      <c r="G49" s="662" t="s">
        <v>231</v>
      </c>
      <c r="H49" s="726">
        <v>6348</v>
      </c>
      <c r="I49" s="728">
        <f>IF(X49 = 37, H49 + SUM(S49:S56) - SUM(T49:T56) - SUM(P49:P56) - V49,0)</f>
        <v>744</v>
      </c>
      <c r="J49" s="662" t="s">
        <v>232</v>
      </c>
      <c r="K49" s="662" t="s">
        <v>233</v>
      </c>
      <c r="L49" s="662" t="s">
        <v>146</v>
      </c>
      <c r="M49" s="662"/>
      <c r="N49" s="522">
        <v>45412</v>
      </c>
      <c r="O49" s="656" t="s">
        <v>234</v>
      </c>
      <c r="P49" s="513">
        <v>3000</v>
      </c>
      <c r="Q49" s="514">
        <v>45392</v>
      </c>
      <c r="R49" s="515"/>
      <c r="S49" s="513"/>
      <c r="T49" s="513"/>
      <c r="U49" s="659"/>
      <c r="V49" s="665"/>
      <c r="W49" s="668"/>
      <c r="X49" s="106">
        <v>37</v>
      </c>
    </row>
    <row r="50" spans="1:24" s="263" customFormat="1" x14ac:dyDescent="0.3">
      <c r="A50" s="703"/>
      <c r="B50" s="663"/>
      <c r="C50" s="663"/>
      <c r="D50" s="663"/>
      <c r="E50" s="657"/>
      <c r="F50" s="657"/>
      <c r="G50" s="663"/>
      <c r="H50" s="735"/>
      <c r="I50" s="736"/>
      <c r="J50" s="663"/>
      <c r="K50" s="663"/>
      <c r="L50" s="663"/>
      <c r="M50" s="663"/>
      <c r="N50" s="523">
        <v>45412</v>
      </c>
      <c r="O50" s="657"/>
      <c r="P50" s="516">
        <v>372</v>
      </c>
      <c r="Q50" s="517">
        <v>45425</v>
      </c>
      <c r="R50" s="518"/>
      <c r="S50" s="516"/>
      <c r="T50" s="516"/>
      <c r="U50" s="660"/>
      <c r="V50" s="666"/>
      <c r="W50" s="669"/>
      <c r="X50" s="263">
        <v>37</v>
      </c>
    </row>
    <row r="51" spans="1:24" s="303" customFormat="1" x14ac:dyDescent="0.3">
      <c r="A51" s="703"/>
      <c r="B51" s="663"/>
      <c r="C51" s="663"/>
      <c r="D51" s="663"/>
      <c r="E51" s="657"/>
      <c r="F51" s="657"/>
      <c r="G51" s="663"/>
      <c r="H51" s="735"/>
      <c r="I51" s="736"/>
      <c r="J51" s="663"/>
      <c r="K51" s="663"/>
      <c r="L51" s="663"/>
      <c r="M51" s="663"/>
      <c r="N51" s="523">
        <v>45473</v>
      </c>
      <c r="O51" s="657"/>
      <c r="P51" s="516">
        <v>372</v>
      </c>
      <c r="Q51" s="517">
        <v>45481</v>
      </c>
      <c r="R51" s="518"/>
      <c r="S51" s="516"/>
      <c r="T51" s="516"/>
      <c r="U51" s="660"/>
      <c r="V51" s="666"/>
      <c r="W51" s="669"/>
      <c r="X51" s="303">
        <v>37</v>
      </c>
    </row>
    <row r="52" spans="1:24" s="309" customFormat="1" x14ac:dyDescent="0.3">
      <c r="A52" s="703"/>
      <c r="B52" s="663"/>
      <c r="C52" s="663"/>
      <c r="D52" s="663"/>
      <c r="E52" s="657"/>
      <c r="F52" s="657"/>
      <c r="G52" s="663"/>
      <c r="H52" s="735"/>
      <c r="I52" s="736"/>
      <c r="J52" s="663"/>
      <c r="K52" s="663"/>
      <c r="L52" s="663"/>
      <c r="M52" s="663"/>
      <c r="N52" s="523">
        <v>45504</v>
      </c>
      <c r="O52" s="657"/>
      <c r="P52" s="516">
        <v>372</v>
      </c>
      <c r="Q52" s="517">
        <v>45519</v>
      </c>
      <c r="R52" s="518"/>
      <c r="S52" s="516"/>
      <c r="T52" s="516"/>
      <c r="U52" s="660"/>
      <c r="V52" s="666"/>
      <c r="W52" s="669"/>
      <c r="X52" s="309">
        <v>37</v>
      </c>
    </row>
    <row r="53" spans="1:24" s="345" customFormat="1" x14ac:dyDescent="0.3">
      <c r="A53" s="703"/>
      <c r="B53" s="663"/>
      <c r="C53" s="663"/>
      <c r="D53" s="663"/>
      <c r="E53" s="657"/>
      <c r="F53" s="657"/>
      <c r="G53" s="663"/>
      <c r="H53" s="735"/>
      <c r="I53" s="736"/>
      <c r="J53" s="663"/>
      <c r="K53" s="663"/>
      <c r="L53" s="663"/>
      <c r="M53" s="663"/>
      <c r="N53" s="523">
        <v>45535</v>
      </c>
      <c r="O53" s="657"/>
      <c r="P53" s="516">
        <v>372</v>
      </c>
      <c r="Q53" s="517">
        <v>45544</v>
      </c>
      <c r="R53" s="518"/>
      <c r="S53" s="516"/>
      <c r="T53" s="516"/>
      <c r="U53" s="660"/>
      <c r="V53" s="666"/>
      <c r="W53" s="669"/>
      <c r="X53" s="345">
        <v>37</v>
      </c>
    </row>
    <row r="54" spans="1:24" s="377" customFormat="1" x14ac:dyDescent="0.3">
      <c r="A54" s="703"/>
      <c r="B54" s="663"/>
      <c r="C54" s="663"/>
      <c r="D54" s="663"/>
      <c r="E54" s="657"/>
      <c r="F54" s="657"/>
      <c r="G54" s="663"/>
      <c r="H54" s="735"/>
      <c r="I54" s="736"/>
      <c r="J54" s="663"/>
      <c r="K54" s="663"/>
      <c r="L54" s="663"/>
      <c r="M54" s="663"/>
      <c r="N54" s="523">
        <v>45565</v>
      </c>
      <c r="O54" s="657"/>
      <c r="P54" s="516">
        <v>372</v>
      </c>
      <c r="Q54" s="517">
        <v>45575</v>
      </c>
      <c r="R54" s="518"/>
      <c r="S54" s="516"/>
      <c r="T54" s="516"/>
      <c r="U54" s="660"/>
      <c r="V54" s="666"/>
      <c r="W54" s="669"/>
      <c r="X54" s="377">
        <v>37</v>
      </c>
    </row>
    <row r="55" spans="1:24" s="461" customFormat="1" x14ac:dyDescent="0.3">
      <c r="A55" s="703"/>
      <c r="B55" s="663"/>
      <c r="C55" s="663"/>
      <c r="D55" s="663"/>
      <c r="E55" s="657"/>
      <c r="F55" s="657"/>
      <c r="G55" s="663"/>
      <c r="H55" s="735"/>
      <c r="I55" s="736"/>
      <c r="J55" s="663"/>
      <c r="K55" s="663"/>
      <c r="L55" s="663"/>
      <c r="M55" s="663"/>
      <c r="N55" s="523">
        <v>45596</v>
      </c>
      <c r="O55" s="657"/>
      <c r="P55" s="516">
        <v>372</v>
      </c>
      <c r="Q55" s="517">
        <v>45611</v>
      </c>
      <c r="R55" s="518"/>
      <c r="S55" s="516"/>
      <c r="T55" s="516"/>
      <c r="U55" s="660"/>
      <c r="V55" s="666"/>
      <c r="W55" s="669"/>
      <c r="X55" s="461">
        <v>37</v>
      </c>
    </row>
    <row r="56" spans="1:24" s="511" customFormat="1" x14ac:dyDescent="0.3">
      <c r="A56" s="704"/>
      <c r="B56" s="664"/>
      <c r="C56" s="664"/>
      <c r="D56" s="664"/>
      <c r="E56" s="658"/>
      <c r="F56" s="658"/>
      <c r="G56" s="664"/>
      <c r="H56" s="727"/>
      <c r="I56" s="729"/>
      <c r="J56" s="664"/>
      <c r="K56" s="664"/>
      <c r="L56" s="664"/>
      <c r="M56" s="664"/>
      <c r="N56" s="524">
        <v>45626</v>
      </c>
      <c r="O56" s="658"/>
      <c r="P56" s="519">
        <v>372</v>
      </c>
      <c r="Q56" s="520">
        <v>45638</v>
      </c>
      <c r="R56" s="521"/>
      <c r="S56" s="519"/>
      <c r="T56" s="519"/>
      <c r="U56" s="661"/>
      <c r="V56" s="667"/>
      <c r="W56" s="670"/>
      <c r="X56" s="511">
        <v>37</v>
      </c>
    </row>
    <row r="57" spans="1:24" s="106" customFormat="1" ht="144" x14ac:dyDescent="0.3">
      <c r="A57" s="155">
        <v>13</v>
      </c>
      <c r="B57" s="158" t="s">
        <v>56</v>
      </c>
      <c r="C57" s="158" t="s">
        <v>163</v>
      </c>
      <c r="D57" s="158" t="s">
        <v>147</v>
      </c>
      <c r="E57" s="156" t="s">
        <v>235</v>
      </c>
      <c r="F57" s="165">
        <v>45358</v>
      </c>
      <c r="G57" s="158" t="s">
        <v>236</v>
      </c>
      <c r="H57" s="562">
        <v>8200</v>
      </c>
      <c r="I57" s="162">
        <f>IF(X57 = 38, H57 + SUM(S57:S57) - SUM(T57:T57) - SUM(P57:P57) - V57,0)</f>
        <v>0</v>
      </c>
      <c r="J57" s="158" t="s">
        <v>237</v>
      </c>
      <c r="K57" s="158" t="s">
        <v>238</v>
      </c>
      <c r="L57" s="158" t="s">
        <v>146</v>
      </c>
      <c r="M57" s="158"/>
      <c r="N57" s="165">
        <v>45366</v>
      </c>
      <c r="O57" s="165" t="s">
        <v>234</v>
      </c>
      <c r="P57" s="157">
        <v>8200</v>
      </c>
      <c r="Q57" s="161">
        <v>45370</v>
      </c>
      <c r="R57" s="158"/>
      <c r="S57" s="157"/>
      <c r="T57" s="157"/>
      <c r="U57" s="157"/>
      <c r="V57" s="166"/>
      <c r="W57" s="160"/>
      <c r="X57" s="106">
        <v>38</v>
      </c>
    </row>
    <row r="58" spans="1:24" s="106" customFormat="1" ht="144" x14ac:dyDescent="0.3">
      <c r="A58" s="155">
        <v>14</v>
      </c>
      <c r="B58" s="158" t="s">
        <v>56</v>
      </c>
      <c r="C58" s="158" t="s">
        <v>146</v>
      </c>
      <c r="D58" s="158" t="s">
        <v>147</v>
      </c>
      <c r="E58" s="186">
        <v>41</v>
      </c>
      <c r="F58" s="165">
        <v>45302</v>
      </c>
      <c r="G58" s="158" t="s">
        <v>246</v>
      </c>
      <c r="H58" s="562">
        <v>10000</v>
      </c>
      <c r="I58" s="162">
        <f>IF(X58 = 39, H58 + SUM(S58:S58) - SUM(T58:T58) - SUM(P58:P58) - V58,0)</f>
        <v>0</v>
      </c>
      <c r="J58" s="158" t="s">
        <v>213</v>
      </c>
      <c r="K58" s="158" t="s">
        <v>199</v>
      </c>
      <c r="L58" s="158" t="s">
        <v>146</v>
      </c>
      <c r="M58" s="158"/>
      <c r="N58" s="165">
        <v>45362</v>
      </c>
      <c r="O58" s="165" t="s">
        <v>194</v>
      </c>
      <c r="P58" s="157">
        <v>10000</v>
      </c>
      <c r="Q58" s="161">
        <v>45363</v>
      </c>
      <c r="R58" s="158"/>
      <c r="S58" s="157"/>
      <c r="T58" s="157"/>
      <c r="U58" s="157"/>
      <c r="V58" s="166"/>
      <c r="W58" s="160"/>
      <c r="X58" s="106">
        <v>39</v>
      </c>
    </row>
    <row r="59" spans="1:24" s="106" customFormat="1" ht="144" x14ac:dyDescent="0.3">
      <c r="A59" s="155">
        <v>15</v>
      </c>
      <c r="B59" s="158" t="s">
        <v>56</v>
      </c>
      <c r="C59" s="158" t="s">
        <v>146</v>
      </c>
      <c r="D59" s="158" t="s">
        <v>147</v>
      </c>
      <c r="E59" s="156" t="s">
        <v>248</v>
      </c>
      <c r="F59" s="165">
        <v>45369</v>
      </c>
      <c r="G59" s="158" t="s">
        <v>247</v>
      </c>
      <c r="H59" s="562">
        <v>7000</v>
      </c>
      <c r="I59" s="162">
        <f>IF(X59 = 40, H59 + SUM(S59:S59) - SUM(T59:T59) - SUM(P59:P59) - V59,0)</f>
        <v>0</v>
      </c>
      <c r="J59" s="158" t="s">
        <v>245</v>
      </c>
      <c r="K59" s="158" t="s">
        <v>229</v>
      </c>
      <c r="L59" s="158" t="s">
        <v>146</v>
      </c>
      <c r="M59" s="158"/>
      <c r="N59" s="165">
        <v>45456</v>
      </c>
      <c r="O59" s="165" t="s">
        <v>194</v>
      </c>
      <c r="P59" s="157">
        <v>7000</v>
      </c>
      <c r="Q59" s="161">
        <v>45462</v>
      </c>
      <c r="R59" s="158"/>
      <c r="S59" s="157"/>
      <c r="T59" s="157"/>
      <c r="U59" s="157"/>
      <c r="V59" s="166"/>
      <c r="W59" s="160"/>
      <c r="X59" s="106">
        <v>40</v>
      </c>
    </row>
    <row r="60" spans="1:24" s="106" customFormat="1" ht="144" x14ac:dyDescent="0.3">
      <c r="A60" s="155">
        <v>16</v>
      </c>
      <c r="B60" s="158" t="s">
        <v>56</v>
      </c>
      <c r="C60" s="158" t="s">
        <v>146</v>
      </c>
      <c r="D60" s="158" t="s">
        <v>147</v>
      </c>
      <c r="E60" s="156" t="s">
        <v>249</v>
      </c>
      <c r="F60" s="165">
        <v>45372</v>
      </c>
      <c r="G60" s="158" t="s">
        <v>250</v>
      </c>
      <c r="H60" s="562">
        <v>7600</v>
      </c>
      <c r="I60" s="162">
        <f>IF(X60 = 41, H60 + SUM(S60:S60) - SUM(T60:T60) - SUM(P60:P60) - V60,0)</f>
        <v>0</v>
      </c>
      <c r="J60" s="158" t="s">
        <v>251</v>
      </c>
      <c r="K60" s="158" t="s">
        <v>252</v>
      </c>
      <c r="L60" s="158" t="s">
        <v>146</v>
      </c>
      <c r="M60" s="158"/>
      <c r="N60" s="165">
        <v>45372</v>
      </c>
      <c r="O60" s="165" t="s">
        <v>194</v>
      </c>
      <c r="P60" s="157">
        <v>7600</v>
      </c>
      <c r="Q60" s="161">
        <v>45376</v>
      </c>
      <c r="R60" s="158"/>
      <c r="S60" s="157"/>
      <c r="T60" s="157"/>
      <c r="U60" s="157"/>
      <c r="V60" s="166"/>
      <c r="W60" s="160"/>
      <c r="X60" s="106">
        <v>41</v>
      </c>
    </row>
    <row r="61" spans="1:24" s="106" customFormat="1" ht="144" x14ac:dyDescent="0.3">
      <c r="A61" s="167">
        <v>17</v>
      </c>
      <c r="B61" s="170" t="s">
        <v>56</v>
      </c>
      <c r="C61" s="170" t="s">
        <v>146</v>
      </c>
      <c r="D61" s="170" t="s">
        <v>147</v>
      </c>
      <c r="E61" s="168" t="s">
        <v>259</v>
      </c>
      <c r="F61" s="174">
        <v>45378</v>
      </c>
      <c r="G61" s="170" t="s">
        <v>258</v>
      </c>
      <c r="H61" s="562">
        <v>9357.7000000000007</v>
      </c>
      <c r="I61" s="173">
        <f>IF(X61 = 42, H61 + SUM(S61:S61) - SUM(T61:T61) - SUM(P61:P61) - V61,0)</f>
        <v>0</v>
      </c>
      <c r="J61" s="170" t="s">
        <v>257</v>
      </c>
      <c r="K61" s="170" t="s">
        <v>256</v>
      </c>
      <c r="L61" s="170" t="s">
        <v>146</v>
      </c>
      <c r="M61" s="170"/>
      <c r="N61" s="174">
        <v>45405</v>
      </c>
      <c r="O61" s="119" t="s">
        <v>165</v>
      </c>
      <c r="P61" s="169">
        <v>9357.7000000000007</v>
      </c>
      <c r="Q61" s="172">
        <v>45427</v>
      </c>
      <c r="R61" s="170"/>
      <c r="S61" s="169"/>
      <c r="T61" s="169"/>
      <c r="U61" s="169"/>
      <c r="V61" s="166"/>
      <c r="W61" s="171"/>
      <c r="X61" s="106">
        <v>42</v>
      </c>
    </row>
    <row r="62" spans="1:24" s="106" customFormat="1" ht="144" x14ac:dyDescent="0.3">
      <c r="A62" s="190">
        <v>18</v>
      </c>
      <c r="B62" s="191" t="s">
        <v>56</v>
      </c>
      <c r="C62" s="191" t="s">
        <v>146</v>
      </c>
      <c r="D62" s="191" t="s">
        <v>220</v>
      </c>
      <c r="E62" s="198">
        <v>12</v>
      </c>
      <c r="F62" s="197">
        <v>45407</v>
      </c>
      <c r="G62" s="191" t="s">
        <v>262</v>
      </c>
      <c r="H62" s="547">
        <v>1187</v>
      </c>
      <c r="I62" s="194">
        <f>IF(X62 = 43, H62 + SUM(S62:S62) - SUM(T62:T62) - SUM(P62:P62) - V62,0)</f>
        <v>0</v>
      </c>
      <c r="J62" s="191" t="s">
        <v>263</v>
      </c>
      <c r="K62" s="191" t="s">
        <v>264</v>
      </c>
      <c r="L62" s="191" t="s">
        <v>146</v>
      </c>
      <c r="M62" s="191"/>
      <c r="N62" s="197"/>
      <c r="O62" s="197" t="s">
        <v>165</v>
      </c>
      <c r="P62" s="193">
        <v>1187</v>
      </c>
      <c r="Q62" s="195">
        <v>45418</v>
      </c>
      <c r="R62" s="191"/>
      <c r="S62" s="193"/>
      <c r="T62" s="193"/>
      <c r="U62" s="193"/>
      <c r="V62" s="196"/>
      <c r="W62" s="188"/>
      <c r="X62" s="106">
        <v>43</v>
      </c>
    </row>
    <row r="63" spans="1:24" s="106" customFormat="1" ht="144" x14ac:dyDescent="0.3">
      <c r="A63" s="190">
        <v>19</v>
      </c>
      <c r="B63" s="191" t="s">
        <v>56</v>
      </c>
      <c r="C63" s="191" t="s">
        <v>146</v>
      </c>
      <c r="D63" s="191" t="s">
        <v>147</v>
      </c>
      <c r="E63" s="192" t="s">
        <v>266</v>
      </c>
      <c r="F63" s="197">
        <v>45385</v>
      </c>
      <c r="G63" s="191" t="s">
        <v>267</v>
      </c>
      <c r="H63" s="547">
        <v>5000</v>
      </c>
      <c r="I63" s="194">
        <f>IF(X63 = 44, H63 + SUM(S63:S63) - SUM(T63:T63) - SUM(P63:P63) - V63,0)</f>
        <v>0</v>
      </c>
      <c r="J63" s="191" t="s">
        <v>268</v>
      </c>
      <c r="K63" s="191" t="s">
        <v>269</v>
      </c>
      <c r="L63" s="191" t="s">
        <v>146</v>
      </c>
      <c r="M63" s="191"/>
      <c r="N63" s="197"/>
      <c r="O63" s="197" t="s">
        <v>165</v>
      </c>
      <c r="P63" s="193">
        <v>5000</v>
      </c>
      <c r="Q63" s="195">
        <v>45387</v>
      </c>
      <c r="R63" s="191"/>
      <c r="S63" s="193"/>
      <c r="T63" s="193"/>
      <c r="U63" s="193"/>
      <c r="V63" s="196"/>
      <c r="W63" s="188"/>
      <c r="X63" s="106">
        <v>44</v>
      </c>
    </row>
    <row r="64" spans="1:24" s="106" customFormat="1" ht="108" customHeight="1" x14ac:dyDescent="0.3">
      <c r="A64" s="690">
        <v>20</v>
      </c>
      <c r="B64" s="674" t="s">
        <v>56</v>
      </c>
      <c r="C64" s="674" t="s">
        <v>146</v>
      </c>
      <c r="D64" s="674" t="s">
        <v>220</v>
      </c>
      <c r="E64" s="677" t="s">
        <v>270</v>
      </c>
      <c r="F64" s="677">
        <v>45401</v>
      </c>
      <c r="G64" s="674" t="s">
        <v>271</v>
      </c>
      <c r="H64" s="679">
        <v>11370</v>
      </c>
      <c r="I64" s="681">
        <f>IF(X64 = 45, H64 + SUM(S64:S67) - SUM(T64:T67) - SUM(P64:P67) - V64,0)</f>
        <v>0</v>
      </c>
      <c r="J64" s="674" t="s">
        <v>272</v>
      </c>
      <c r="K64" s="674" t="s">
        <v>273</v>
      </c>
      <c r="L64" s="674" t="s">
        <v>146</v>
      </c>
      <c r="M64" s="674"/>
      <c r="N64" s="284"/>
      <c r="O64" s="677" t="s">
        <v>274</v>
      </c>
      <c r="P64" s="275">
        <v>2967</v>
      </c>
      <c r="Q64" s="276">
        <v>45406</v>
      </c>
      <c r="R64" s="277"/>
      <c r="S64" s="275"/>
      <c r="T64" s="275"/>
      <c r="U64" s="688"/>
      <c r="V64" s="671"/>
      <c r="W64" s="705"/>
      <c r="X64" s="106">
        <v>45</v>
      </c>
    </row>
    <row r="65" spans="1:24" s="200" customFormat="1" x14ac:dyDescent="0.3">
      <c r="A65" s="692"/>
      <c r="B65" s="675"/>
      <c r="C65" s="675"/>
      <c r="D65" s="675"/>
      <c r="E65" s="708"/>
      <c r="F65" s="708"/>
      <c r="G65" s="675"/>
      <c r="H65" s="709"/>
      <c r="I65" s="710"/>
      <c r="J65" s="675"/>
      <c r="K65" s="675"/>
      <c r="L65" s="675"/>
      <c r="M65" s="675"/>
      <c r="N65" s="285"/>
      <c r="O65" s="708"/>
      <c r="P65" s="278">
        <v>444</v>
      </c>
      <c r="Q65" s="279">
        <v>45406</v>
      </c>
      <c r="R65" s="280"/>
      <c r="S65" s="278"/>
      <c r="T65" s="278"/>
      <c r="U65" s="711"/>
      <c r="V65" s="673"/>
      <c r="W65" s="706"/>
      <c r="X65" s="200">
        <v>45</v>
      </c>
    </row>
    <row r="66" spans="1:24" s="267" customFormat="1" x14ac:dyDescent="0.3">
      <c r="A66" s="692"/>
      <c r="B66" s="675"/>
      <c r="C66" s="675"/>
      <c r="D66" s="675"/>
      <c r="E66" s="708"/>
      <c r="F66" s="708"/>
      <c r="G66" s="675"/>
      <c r="H66" s="709"/>
      <c r="I66" s="710"/>
      <c r="J66" s="675"/>
      <c r="K66" s="675"/>
      <c r="L66" s="675"/>
      <c r="M66" s="675"/>
      <c r="N66" s="285"/>
      <c r="O66" s="708"/>
      <c r="P66" s="278">
        <v>1036</v>
      </c>
      <c r="Q66" s="279" t="s">
        <v>320</v>
      </c>
      <c r="R66" s="280"/>
      <c r="S66" s="278"/>
      <c r="T66" s="278"/>
      <c r="U66" s="711"/>
      <c r="V66" s="673"/>
      <c r="W66" s="706"/>
      <c r="X66" s="267">
        <v>45</v>
      </c>
    </row>
    <row r="67" spans="1:24" s="267" customFormat="1" x14ac:dyDescent="0.3">
      <c r="A67" s="691"/>
      <c r="B67" s="676"/>
      <c r="C67" s="676"/>
      <c r="D67" s="676"/>
      <c r="E67" s="678"/>
      <c r="F67" s="678"/>
      <c r="G67" s="676"/>
      <c r="H67" s="680"/>
      <c r="I67" s="682"/>
      <c r="J67" s="676"/>
      <c r="K67" s="676"/>
      <c r="L67" s="676"/>
      <c r="M67" s="676"/>
      <c r="N67" s="286"/>
      <c r="O67" s="678"/>
      <c r="P67" s="281">
        <v>6923</v>
      </c>
      <c r="Q67" s="282">
        <v>45448</v>
      </c>
      <c r="R67" s="283"/>
      <c r="S67" s="281"/>
      <c r="T67" s="281"/>
      <c r="U67" s="689"/>
      <c r="V67" s="672"/>
      <c r="W67" s="707"/>
      <c r="X67" s="267">
        <v>45</v>
      </c>
    </row>
    <row r="68" spans="1:24" s="106" customFormat="1" ht="108" customHeight="1" x14ac:dyDescent="0.3">
      <c r="A68" s="690">
        <v>21</v>
      </c>
      <c r="B68" s="674" t="s">
        <v>56</v>
      </c>
      <c r="C68" s="674" t="s">
        <v>146</v>
      </c>
      <c r="D68" s="674" t="s">
        <v>147</v>
      </c>
      <c r="E68" s="677" t="s">
        <v>276</v>
      </c>
      <c r="F68" s="677">
        <v>45401</v>
      </c>
      <c r="G68" s="674" t="s">
        <v>275</v>
      </c>
      <c r="H68" s="679">
        <v>2461.29</v>
      </c>
      <c r="I68" s="681">
        <f>IF(X68 = 46, H68 + SUM(S68:S69) - SUM(T68:T69) - SUM(P68:P69) - V68,0)</f>
        <v>0</v>
      </c>
      <c r="J68" s="674" t="s">
        <v>272</v>
      </c>
      <c r="K68" s="674" t="s">
        <v>273</v>
      </c>
      <c r="L68" s="674" t="s">
        <v>146</v>
      </c>
      <c r="M68" s="674"/>
      <c r="N68" s="284"/>
      <c r="O68" s="677" t="s">
        <v>274</v>
      </c>
      <c r="P68" s="275">
        <v>738.38</v>
      </c>
      <c r="Q68" s="276">
        <v>45406</v>
      </c>
      <c r="R68" s="277"/>
      <c r="S68" s="275"/>
      <c r="T68" s="275"/>
      <c r="U68" s="688"/>
      <c r="V68" s="671"/>
      <c r="W68" s="705"/>
      <c r="X68" s="106">
        <v>46</v>
      </c>
    </row>
    <row r="69" spans="1:24" s="267" customFormat="1" x14ac:dyDescent="0.3">
      <c r="A69" s="691"/>
      <c r="B69" s="676"/>
      <c r="C69" s="676"/>
      <c r="D69" s="676"/>
      <c r="E69" s="678"/>
      <c r="F69" s="678"/>
      <c r="G69" s="676"/>
      <c r="H69" s="680"/>
      <c r="I69" s="682"/>
      <c r="J69" s="676"/>
      <c r="K69" s="676"/>
      <c r="L69" s="676"/>
      <c r="M69" s="676"/>
      <c r="N69" s="286"/>
      <c r="O69" s="678"/>
      <c r="P69" s="281">
        <v>1722.91</v>
      </c>
      <c r="Q69" s="282">
        <v>45449</v>
      </c>
      <c r="R69" s="283"/>
      <c r="S69" s="281"/>
      <c r="T69" s="281"/>
      <c r="U69" s="689"/>
      <c r="V69" s="672"/>
      <c r="W69" s="707"/>
      <c r="X69" s="267">
        <v>46</v>
      </c>
    </row>
    <row r="70" spans="1:24" s="106" customFormat="1" ht="144" x14ac:dyDescent="0.3">
      <c r="A70" s="190">
        <v>22</v>
      </c>
      <c r="B70" s="191" t="s">
        <v>56</v>
      </c>
      <c r="C70" s="191" t="s">
        <v>146</v>
      </c>
      <c r="D70" s="191" t="s">
        <v>220</v>
      </c>
      <c r="E70" s="197" t="s">
        <v>277</v>
      </c>
      <c r="F70" s="199">
        <v>45404</v>
      </c>
      <c r="G70" s="191" t="s">
        <v>207</v>
      </c>
      <c r="H70" s="547">
        <v>13000</v>
      </c>
      <c r="I70" s="194">
        <f>IF(X70 = 47, H70 + SUM(S70:S70) - SUM(T70:T70) - SUM(P70:P70) - V70,0)</f>
        <v>0</v>
      </c>
      <c r="J70" s="191" t="s">
        <v>208</v>
      </c>
      <c r="K70" s="191" t="s">
        <v>209</v>
      </c>
      <c r="L70" s="191" t="s">
        <v>146</v>
      </c>
      <c r="M70" s="191"/>
      <c r="N70" s="199"/>
      <c r="O70" s="199" t="s">
        <v>194</v>
      </c>
      <c r="P70" s="193">
        <v>13000</v>
      </c>
      <c r="Q70" s="195">
        <v>45418</v>
      </c>
      <c r="R70" s="191"/>
      <c r="S70" s="193"/>
      <c r="T70" s="193"/>
      <c r="U70" s="193"/>
      <c r="V70" s="196"/>
      <c r="W70" s="189"/>
      <c r="X70" s="106">
        <v>47</v>
      </c>
    </row>
    <row r="71" spans="1:24" s="106" customFormat="1" ht="144" x14ac:dyDescent="0.3">
      <c r="A71" s="190">
        <v>23</v>
      </c>
      <c r="B71" s="191" t="s">
        <v>56</v>
      </c>
      <c r="C71" s="191" t="s">
        <v>146</v>
      </c>
      <c r="D71" s="191" t="s">
        <v>147</v>
      </c>
      <c r="E71" s="191" t="s">
        <v>278</v>
      </c>
      <c r="F71" s="199">
        <v>45398</v>
      </c>
      <c r="G71" s="191" t="s">
        <v>207</v>
      </c>
      <c r="H71" s="547">
        <v>4400</v>
      </c>
      <c r="I71" s="194">
        <f>IF(X71 = 48, H71 + SUM(S71:S71) - SUM(T71:T71) - SUM(P71:P71) - V71,0)</f>
        <v>0</v>
      </c>
      <c r="J71" s="191" t="s">
        <v>208</v>
      </c>
      <c r="K71" s="191" t="s">
        <v>209</v>
      </c>
      <c r="L71" s="191" t="s">
        <v>146</v>
      </c>
      <c r="M71" s="191"/>
      <c r="N71" s="199"/>
      <c r="O71" s="199" t="s">
        <v>194</v>
      </c>
      <c r="P71" s="193">
        <v>4400</v>
      </c>
      <c r="Q71" s="195">
        <v>45408</v>
      </c>
      <c r="R71" s="191"/>
      <c r="S71" s="193"/>
      <c r="T71" s="193"/>
      <c r="U71" s="193"/>
      <c r="V71" s="196"/>
      <c r="W71" s="189"/>
      <c r="X71" s="106">
        <v>48</v>
      </c>
    </row>
    <row r="72" spans="1:24" s="106" customFormat="1" ht="144" x14ac:dyDescent="0.3">
      <c r="A72" s="224">
        <v>24</v>
      </c>
      <c r="B72" s="219" t="s">
        <v>56</v>
      </c>
      <c r="C72" s="219" t="s">
        <v>146</v>
      </c>
      <c r="D72" s="219" t="s">
        <v>147</v>
      </c>
      <c r="E72" s="219" t="s">
        <v>286</v>
      </c>
      <c r="F72" s="228">
        <v>45418</v>
      </c>
      <c r="G72" s="191" t="s">
        <v>207</v>
      </c>
      <c r="H72" s="548">
        <v>3830</v>
      </c>
      <c r="I72" s="227">
        <f>IF(X72 = 49, H72 + SUM(S72:S72) - SUM(T72:T72) - SUM(P72:P72) - V72,0)</f>
        <v>0</v>
      </c>
      <c r="J72" s="191" t="s">
        <v>208</v>
      </c>
      <c r="K72" s="191" t="s">
        <v>209</v>
      </c>
      <c r="L72" s="191" t="s">
        <v>146</v>
      </c>
      <c r="M72" s="191"/>
      <c r="N72" s="199">
        <v>45418</v>
      </c>
      <c r="O72" s="199" t="s">
        <v>194</v>
      </c>
      <c r="P72" s="226">
        <v>3830</v>
      </c>
      <c r="Q72" s="225">
        <v>45427</v>
      </c>
      <c r="R72" s="219"/>
      <c r="S72" s="226"/>
      <c r="T72" s="226"/>
      <c r="U72" s="226"/>
      <c r="V72" s="260"/>
      <c r="W72" s="223"/>
      <c r="X72" s="106">
        <v>49</v>
      </c>
    </row>
    <row r="73" spans="1:24" s="106" customFormat="1" ht="144" x14ac:dyDescent="0.3">
      <c r="A73" s="224">
        <v>25</v>
      </c>
      <c r="B73" s="219" t="s">
        <v>56</v>
      </c>
      <c r="C73" s="219" t="s">
        <v>146</v>
      </c>
      <c r="D73" s="219" t="s">
        <v>147</v>
      </c>
      <c r="E73" s="219" t="s">
        <v>287</v>
      </c>
      <c r="F73" s="228">
        <v>45427</v>
      </c>
      <c r="G73" s="219" t="s">
        <v>288</v>
      </c>
      <c r="H73" s="548">
        <v>9947.0499999999993</v>
      </c>
      <c r="I73" s="227">
        <f>IF(X73 = 50, H73 + SUM(S73:S73) - SUM(T73:T73) - SUM(P73:P73) - V73,0)</f>
        <v>0</v>
      </c>
      <c r="J73" s="219" t="s">
        <v>289</v>
      </c>
      <c r="K73" s="219" t="s">
        <v>290</v>
      </c>
      <c r="L73" s="219" t="s">
        <v>146</v>
      </c>
      <c r="M73" s="219"/>
      <c r="N73" s="228">
        <v>45427</v>
      </c>
      <c r="O73" s="199" t="s">
        <v>194</v>
      </c>
      <c r="P73" s="226">
        <v>9947.0499999999993</v>
      </c>
      <c r="Q73" s="225">
        <v>45429</v>
      </c>
      <c r="R73" s="219"/>
      <c r="S73" s="226"/>
      <c r="T73" s="226"/>
      <c r="U73" s="226"/>
      <c r="V73" s="260"/>
      <c r="W73" s="223"/>
      <c r="X73" s="106">
        <v>50</v>
      </c>
    </row>
    <row r="74" spans="1:24" s="106" customFormat="1" ht="144" x14ac:dyDescent="0.3">
      <c r="A74" s="239">
        <v>26</v>
      </c>
      <c r="B74" s="240" t="s">
        <v>56</v>
      </c>
      <c r="C74" s="240" t="s">
        <v>146</v>
      </c>
      <c r="D74" s="240" t="s">
        <v>147</v>
      </c>
      <c r="E74" s="240" t="s">
        <v>291</v>
      </c>
      <c r="F74" s="262">
        <v>45432</v>
      </c>
      <c r="G74" s="240" t="s">
        <v>207</v>
      </c>
      <c r="H74" s="549">
        <v>8090</v>
      </c>
      <c r="I74" s="244">
        <f>IF(X74 = 51, H74 + SUM(S74:S74) - SUM(T74:T74) - SUM(P74:P74) - V74,0)</f>
        <v>0</v>
      </c>
      <c r="J74" s="191" t="s">
        <v>208</v>
      </c>
      <c r="K74" s="191" t="s">
        <v>209</v>
      </c>
      <c r="L74" s="191" t="s">
        <v>146</v>
      </c>
      <c r="M74" s="240"/>
      <c r="N74" s="262">
        <v>45432</v>
      </c>
      <c r="O74" s="262" t="s">
        <v>194</v>
      </c>
      <c r="P74" s="243">
        <v>8090</v>
      </c>
      <c r="Q74" s="242">
        <v>45439</v>
      </c>
      <c r="R74" s="240"/>
      <c r="S74" s="243"/>
      <c r="T74" s="243"/>
      <c r="U74" s="243"/>
      <c r="V74" s="261"/>
      <c r="W74" s="248"/>
      <c r="X74" s="106">
        <v>51</v>
      </c>
    </row>
    <row r="75" spans="1:24" s="106" customFormat="1" ht="144" x14ac:dyDescent="0.3">
      <c r="A75" s="239">
        <v>27</v>
      </c>
      <c r="B75" s="240" t="s">
        <v>56</v>
      </c>
      <c r="C75" s="240" t="s">
        <v>146</v>
      </c>
      <c r="D75" s="240" t="s">
        <v>147</v>
      </c>
      <c r="E75" s="240" t="s">
        <v>292</v>
      </c>
      <c r="F75" s="264">
        <v>45435</v>
      </c>
      <c r="G75" s="240" t="s">
        <v>293</v>
      </c>
      <c r="H75" s="549">
        <v>3000</v>
      </c>
      <c r="I75" s="244">
        <f>IF(X75 = 52, H75 + SUM(S75:S75) - SUM(T75:T75) - SUM(P75:P75) - V75,0)</f>
        <v>0</v>
      </c>
      <c r="J75" s="240" t="s">
        <v>294</v>
      </c>
      <c r="K75" s="240" t="s">
        <v>295</v>
      </c>
      <c r="L75" s="240" t="s">
        <v>146</v>
      </c>
      <c r="M75" s="240"/>
      <c r="N75" s="264">
        <v>45435</v>
      </c>
      <c r="O75" s="264" t="s">
        <v>194</v>
      </c>
      <c r="P75" s="243">
        <v>3000</v>
      </c>
      <c r="Q75" s="242">
        <v>45439</v>
      </c>
      <c r="R75" s="240"/>
      <c r="S75" s="243"/>
      <c r="T75" s="243"/>
      <c r="U75" s="243"/>
      <c r="V75" s="261"/>
      <c r="W75" s="248"/>
      <c r="X75" s="106">
        <v>52</v>
      </c>
    </row>
    <row r="76" spans="1:24" s="106" customFormat="1" ht="144" x14ac:dyDescent="0.3">
      <c r="A76" s="239">
        <v>28</v>
      </c>
      <c r="B76" s="240" t="s">
        <v>56</v>
      </c>
      <c r="C76" s="240" t="s">
        <v>146</v>
      </c>
      <c r="D76" s="240" t="s">
        <v>147</v>
      </c>
      <c r="E76" s="240" t="s">
        <v>296</v>
      </c>
      <c r="F76" s="265">
        <v>45414</v>
      </c>
      <c r="G76" s="240" t="s">
        <v>297</v>
      </c>
      <c r="H76" s="549">
        <v>8645</v>
      </c>
      <c r="I76" s="244">
        <f>IF(X76 = 53, H76 + SUM(S76:S76) - SUM(T76:T76) - SUM(P76:P76) - V76,0)</f>
        <v>0</v>
      </c>
      <c r="J76" s="240" t="s">
        <v>298</v>
      </c>
      <c r="K76" s="240" t="s">
        <v>299</v>
      </c>
      <c r="L76" s="240" t="s">
        <v>146</v>
      </c>
      <c r="M76" s="240"/>
      <c r="N76" s="265"/>
      <c r="O76" s="265" t="s">
        <v>194</v>
      </c>
      <c r="P76" s="243">
        <v>8645</v>
      </c>
      <c r="Q76" s="242">
        <v>45418</v>
      </c>
      <c r="R76" s="240"/>
      <c r="S76" s="243"/>
      <c r="T76" s="243"/>
      <c r="U76" s="243"/>
      <c r="V76" s="261"/>
      <c r="W76" s="248"/>
      <c r="X76" s="106">
        <v>53</v>
      </c>
    </row>
    <row r="77" spans="1:24" s="106" customFormat="1" ht="144" x14ac:dyDescent="0.3">
      <c r="A77" s="268">
        <v>29</v>
      </c>
      <c r="B77" s="266" t="s">
        <v>56</v>
      </c>
      <c r="C77" s="266" t="s">
        <v>146</v>
      </c>
      <c r="D77" s="266" t="s">
        <v>147</v>
      </c>
      <c r="E77" s="266" t="s">
        <v>300</v>
      </c>
      <c r="F77" s="274">
        <v>45439</v>
      </c>
      <c r="G77" s="266" t="s">
        <v>207</v>
      </c>
      <c r="H77" s="550">
        <v>4970</v>
      </c>
      <c r="I77" s="270">
        <f>IF(X77 = 54, H77 + SUM(S77:S77) - SUM(T77:T77) - SUM(P77:P77) - V77,0)</f>
        <v>0</v>
      </c>
      <c r="J77" s="191" t="s">
        <v>208</v>
      </c>
      <c r="K77" s="191" t="s">
        <v>209</v>
      </c>
      <c r="L77" s="266" t="s">
        <v>146</v>
      </c>
      <c r="M77" s="266"/>
      <c r="N77" s="274"/>
      <c r="O77" s="274" t="s">
        <v>194</v>
      </c>
      <c r="P77" s="269">
        <v>4970</v>
      </c>
      <c r="Q77" s="271">
        <v>45447</v>
      </c>
      <c r="R77" s="266"/>
      <c r="S77" s="269"/>
      <c r="T77" s="269"/>
      <c r="U77" s="269"/>
      <c r="V77" s="272"/>
      <c r="W77" s="273"/>
      <c r="X77" s="106">
        <v>54</v>
      </c>
    </row>
    <row r="78" spans="1:24" s="106" customFormat="1" ht="144" customHeight="1" x14ac:dyDescent="0.3">
      <c r="A78" s="730">
        <v>30</v>
      </c>
      <c r="B78" s="714" t="s">
        <v>56</v>
      </c>
      <c r="C78" s="714" t="s">
        <v>146</v>
      </c>
      <c r="D78" s="714" t="s">
        <v>147</v>
      </c>
      <c r="E78" s="714" t="s">
        <v>306</v>
      </c>
      <c r="F78" s="716">
        <v>45464</v>
      </c>
      <c r="G78" s="714" t="s">
        <v>305</v>
      </c>
      <c r="H78" s="718">
        <v>19000</v>
      </c>
      <c r="I78" s="720">
        <f>IF(X78 = 55, H78 + SUM(S78:S79) - SUM(T78:T79) - SUM(P78:P79) - V78,0)</f>
        <v>0</v>
      </c>
      <c r="J78" s="714" t="s">
        <v>304</v>
      </c>
      <c r="K78" s="714" t="s">
        <v>303</v>
      </c>
      <c r="L78" s="714" t="s">
        <v>146</v>
      </c>
      <c r="M78" s="714"/>
      <c r="N78" s="325">
        <v>45464</v>
      </c>
      <c r="O78" s="716" t="s">
        <v>194</v>
      </c>
      <c r="P78" s="310">
        <v>7256</v>
      </c>
      <c r="Q78" s="311">
        <v>45477</v>
      </c>
      <c r="R78" s="312"/>
      <c r="S78" s="310"/>
      <c r="T78" s="310"/>
      <c r="U78" s="722"/>
      <c r="V78" s="724"/>
      <c r="W78" s="712"/>
      <c r="X78" s="106">
        <v>55</v>
      </c>
    </row>
    <row r="79" spans="1:24" s="303" customFormat="1" x14ac:dyDescent="0.3">
      <c r="A79" s="731"/>
      <c r="B79" s="715"/>
      <c r="C79" s="715"/>
      <c r="D79" s="715"/>
      <c r="E79" s="715"/>
      <c r="F79" s="717"/>
      <c r="G79" s="715"/>
      <c r="H79" s="719"/>
      <c r="I79" s="721"/>
      <c r="J79" s="715"/>
      <c r="K79" s="715"/>
      <c r="L79" s="715"/>
      <c r="M79" s="715"/>
      <c r="N79" s="327">
        <v>45464</v>
      </c>
      <c r="O79" s="717"/>
      <c r="P79" s="320">
        <v>11744</v>
      </c>
      <c r="Q79" s="321">
        <v>45477</v>
      </c>
      <c r="R79" s="322"/>
      <c r="S79" s="320"/>
      <c r="T79" s="320"/>
      <c r="U79" s="723"/>
      <c r="V79" s="725"/>
      <c r="W79" s="713"/>
      <c r="X79" s="303">
        <v>55</v>
      </c>
    </row>
    <row r="80" spans="1:24" s="106" customFormat="1" ht="144" customHeight="1" x14ac:dyDescent="0.3">
      <c r="A80" s="730">
        <v>31</v>
      </c>
      <c r="B80" s="714" t="s">
        <v>56</v>
      </c>
      <c r="C80" s="714" t="s">
        <v>146</v>
      </c>
      <c r="D80" s="714" t="s">
        <v>147</v>
      </c>
      <c r="E80" s="714" t="s">
        <v>307</v>
      </c>
      <c r="F80" s="716">
        <v>45464</v>
      </c>
      <c r="G80" s="714" t="s">
        <v>308</v>
      </c>
      <c r="H80" s="718">
        <v>6600</v>
      </c>
      <c r="I80" s="720">
        <f>IF(X80 = 56, H80 + SUM(S80:S81) - SUM(T80:T81) - SUM(P80:P81) - V80,0)</f>
        <v>0</v>
      </c>
      <c r="J80" s="714" t="s">
        <v>309</v>
      </c>
      <c r="K80" s="714" t="s">
        <v>310</v>
      </c>
      <c r="L80" s="714" t="s">
        <v>146</v>
      </c>
      <c r="M80" s="714"/>
      <c r="N80" s="325"/>
      <c r="O80" s="716" t="s">
        <v>194</v>
      </c>
      <c r="P80" s="310">
        <v>1980</v>
      </c>
      <c r="Q80" s="311">
        <v>45469</v>
      </c>
      <c r="R80" s="312"/>
      <c r="S80" s="310"/>
      <c r="T80" s="310"/>
      <c r="U80" s="722"/>
      <c r="V80" s="724"/>
      <c r="W80" s="712"/>
      <c r="X80" s="106">
        <v>56</v>
      </c>
    </row>
    <row r="81" spans="1:24" s="303" customFormat="1" x14ac:dyDescent="0.3">
      <c r="A81" s="731"/>
      <c r="B81" s="715"/>
      <c r="C81" s="715"/>
      <c r="D81" s="715"/>
      <c r="E81" s="715"/>
      <c r="F81" s="717"/>
      <c r="G81" s="715"/>
      <c r="H81" s="719"/>
      <c r="I81" s="721"/>
      <c r="J81" s="715"/>
      <c r="K81" s="715"/>
      <c r="L81" s="715"/>
      <c r="M81" s="715"/>
      <c r="N81" s="327">
        <v>45483</v>
      </c>
      <c r="O81" s="717"/>
      <c r="P81" s="320">
        <v>4620</v>
      </c>
      <c r="Q81" s="321">
        <v>45489</v>
      </c>
      <c r="R81" s="322"/>
      <c r="S81" s="320"/>
      <c r="T81" s="320"/>
      <c r="U81" s="723"/>
      <c r="V81" s="725"/>
      <c r="W81" s="713"/>
      <c r="X81" s="303">
        <v>56</v>
      </c>
    </row>
    <row r="82" spans="1:24" s="106" customFormat="1" ht="144" x14ac:dyDescent="0.3">
      <c r="A82" s="295">
        <v>32</v>
      </c>
      <c r="B82" s="296" t="s">
        <v>56</v>
      </c>
      <c r="C82" s="296" t="s">
        <v>146</v>
      </c>
      <c r="D82" s="296" t="s">
        <v>147</v>
      </c>
      <c r="E82" s="296" t="s">
        <v>321</v>
      </c>
      <c r="F82" s="301">
        <v>45446</v>
      </c>
      <c r="G82" s="296" t="s">
        <v>322</v>
      </c>
      <c r="H82" s="551">
        <v>196573.14</v>
      </c>
      <c r="I82" s="298">
        <f>IF(X82 = 57, H82 + SUM(S82:S82) - SUM(T82:T82) - SUM(P82:P82) - V82,0)</f>
        <v>0</v>
      </c>
      <c r="J82" s="296" t="s">
        <v>323</v>
      </c>
      <c r="K82" s="296" t="s">
        <v>324</v>
      </c>
      <c r="L82" s="296" t="s">
        <v>146</v>
      </c>
      <c r="M82" s="296"/>
      <c r="N82" s="301">
        <v>45474</v>
      </c>
      <c r="O82" s="301" t="s">
        <v>194</v>
      </c>
      <c r="P82" s="297">
        <v>196573.14</v>
      </c>
      <c r="Q82" s="299">
        <v>45483</v>
      </c>
      <c r="R82" s="296"/>
      <c r="S82" s="297"/>
      <c r="T82" s="297"/>
      <c r="U82" s="297"/>
      <c r="V82" s="300"/>
      <c r="W82" s="294"/>
      <c r="X82" s="106">
        <v>57</v>
      </c>
    </row>
    <row r="83" spans="1:24" s="106" customFormat="1" ht="144" x14ac:dyDescent="0.3">
      <c r="A83" s="295">
        <v>33</v>
      </c>
      <c r="B83" s="296" t="s">
        <v>56</v>
      </c>
      <c r="C83" s="296" t="s">
        <v>146</v>
      </c>
      <c r="D83" s="296" t="s">
        <v>147</v>
      </c>
      <c r="E83" s="296" t="s">
        <v>325</v>
      </c>
      <c r="F83" s="301">
        <v>45446</v>
      </c>
      <c r="G83" s="296" t="s">
        <v>328</v>
      </c>
      <c r="H83" s="551">
        <v>274956.38</v>
      </c>
      <c r="I83" s="298">
        <f>IF(X83 = 58, H83 + SUM(S83:S83) - SUM(T83:T83) - SUM(P83:P83) - V83,0)</f>
        <v>0</v>
      </c>
      <c r="J83" s="296" t="s">
        <v>323</v>
      </c>
      <c r="K83" s="296" t="s">
        <v>324</v>
      </c>
      <c r="L83" s="296" t="s">
        <v>146</v>
      </c>
      <c r="M83" s="296"/>
      <c r="N83" s="301">
        <v>45474</v>
      </c>
      <c r="O83" s="301" t="s">
        <v>194</v>
      </c>
      <c r="P83" s="297">
        <v>274956.38</v>
      </c>
      <c r="Q83" s="299">
        <v>45481</v>
      </c>
      <c r="R83" s="296"/>
      <c r="S83" s="297"/>
      <c r="T83" s="297"/>
      <c r="U83" s="297"/>
      <c r="V83" s="300"/>
      <c r="W83" s="294"/>
      <c r="X83" s="106">
        <v>58</v>
      </c>
    </row>
    <row r="84" spans="1:24" s="106" customFormat="1" ht="144" x14ac:dyDescent="0.3">
      <c r="A84" s="295">
        <v>34</v>
      </c>
      <c r="B84" s="296" t="s">
        <v>56</v>
      </c>
      <c r="C84" s="296" t="s">
        <v>146</v>
      </c>
      <c r="D84" s="296" t="s">
        <v>147</v>
      </c>
      <c r="E84" s="296" t="s">
        <v>327</v>
      </c>
      <c r="F84" s="301">
        <v>45446</v>
      </c>
      <c r="G84" s="296" t="s">
        <v>326</v>
      </c>
      <c r="H84" s="551">
        <v>488728.36</v>
      </c>
      <c r="I84" s="298">
        <f>IF(X84 = 59, H84 + SUM(S84:S84) - SUM(T84:T84) - SUM(P84:P84) - V84,0)</f>
        <v>0</v>
      </c>
      <c r="J84" s="296" t="s">
        <v>323</v>
      </c>
      <c r="K84" s="296" t="s">
        <v>324</v>
      </c>
      <c r="L84" s="296" t="s">
        <v>146</v>
      </c>
      <c r="M84" s="296"/>
      <c r="N84" s="301">
        <v>45474</v>
      </c>
      <c r="O84" s="301" t="s">
        <v>194</v>
      </c>
      <c r="P84" s="297">
        <v>488728.36</v>
      </c>
      <c r="Q84" s="299">
        <v>45481</v>
      </c>
      <c r="R84" s="296"/>
      <c r="S84" s="297"/>
      <c r="T84" s="297"/>
      <c r="U84" s="297"/>
      <c r="V84" s="300"/>
      <c r="W84" s="294"/>
      <c r="X84" s="106">
        <v>59</v>
      </c>
    </row>
    <row r="85" spans="1:24" s="106" customFormat="1" ht="144" x14ac:dyDescent="0.3">
      <c r="A85" s="295">
        <v>35</v>
      </c>
      <c r="B85" s="296" t="s">
        <v>56</v>
      </c>
      <c r="C85" s="296" t="s">
        <v>146</v>
      </c>
      <c r="D85" s="296" t="s">
        <v>147</v>
      </c>
      <c r="E85" s="296" t="s">
        <v>330</v>
      </c>
      <c r="F85" s="305">
        <v>45489</v>
      </c>
      <c r="G85" s="296" t="s">
        <v>329</v>
      </c>
      <c r="H85" s="551">
        <v>19500</v>
      </c>
      <c r="I85" s="298">
        <f>IF(X85 = 60, H85 + SUM(S85:S85) - SUM(T85:T85) - SUM(P85:P85) - V85,0)</f>
        <v>0</v>
      </c>
      <c r="J85" s="296" t="s">
        <v>331</v>
      </c>
      <c r="K85" s="296" t="s">
        <v>332</v>
      </c>
      <c r="L85" s="296" t="s">
        <v>146</v>
      </c>
      <c r="M85" s="296"/>
      <c r="N85" s="305">
        <v>45489</v>
      </c>
      <c r="O85" s="305" t="s">
        <v>194</v>
      </c>
      <c r="P85" s="297">
        <v>19500</v>
      </c>
      <c r="Q85" s="299">
        <v>45489</v>
      </c>
      <c r="R85" s="296"/>
      <c r="S85" s="297"/>
      <c r="T85" s="297"/>
      <c r="U85" s="297"/>
      <c r="V85" s="300"/>
      <c r="W85" s="302"/>
      <c r="X85" s="106">
        <v>60</v>
      </c>
    </row>
    <row r="86" spans="1:24" s="106" customFormat="1" ht="144" x14ac:dyDescent="0.3">
      <c r="A86" s="295">
        <v>36</v>
      </c>
      <c r="B86" s="296" t="s">
        <v>56</v>
      </c>
      <c r="C86" s="296" t="s">
        <v>146</v>
      </c>
      <c r="D86" s="296" t="s">
        <v>147</v>
      </c>
      <c r="E86" s="296" t="s">
        <v>335</v>
      </c>
      <c r="F86" s="332">
        <v>45492</v>
      </c>
      <c r="G86" s="296" t="s">
        <v>336</v>
      </c>
      <c r="H86" s="551">
        <v>47600</v>
      </c>
      <c r="I86" s="298">
        <f>IF(X86 = 61, H86 + SUM(S86:S86) - SUM(T86:T86) - SUM(P86:P86) - V86,0)</f>
        <v>0</v>
      </c>
      <c r="J86" s="296" t="s">
        <v>337</v>
      </c>
      <c r="K86" s="296" t="s">
        <v>338</v>
      </c>
      <c r="L86" s="296" t="s">
        <v>146</v>
      </c>
      <c r="M86" s="296"/>
      <c r="N86" s="332">
        <v>45504</v>
      </c>
      <c r="O86" s="332" t="s">
        <v>194</v>
      </c>
      <c r="P86" s="297">
        <v>47600</v>
      </c>
      <c r="Q86" s="299">
        <v>45504</v>
      </c>
      <c r="R86" s="296"/>
      <c r="S86" s="297"/>
      <c r="T86" s="297"/>
      <c r="U86" s="297"/>
      <c r="V86" s="300"/>
      <c r="W86" s="304"/>
      <c r="X86" s="106">
        <v>61</v>
      </c>
    </row>
    <row r="87" spans="1:24" s="106" customFormat="1" ht="144" x14ac:dyDescent="0.3">
      <c r="A87" s="316">
        <v>37</v>
      </c>
      <c r="B87" s="317" t="s">
        <v>56</v>
      </c>
      <c r="C87" s="317" t="s">
        <v>146</v>
      </c>
      <c r="D87" s="317" t="s">
        <v>147</v>
      </c>
      <c r="E87" s="317" t="s">
        <v>36</v>
      </c>
      <c r="F87" s="333">
        <v>45492</v>
      </c>
      <c r="G87" s="317" t="s">
        <v>339</v>
      </c>
      <c r="H87" s="552">
        <v>33000</v>
      </c>
      <c r="I87" s="319">
        <f>IF(X87 = 62, H87 + SUM(S87:S87) - SUM(T87:T87) - SUM(P87:P87) - V87,0)</f>
        <v>0</v>
      </c>
      <c r="J87" s="317" t="s">
        <v>340</v>
      </c>
      <c r="K87" s="317" t="s">
        <v>341</v>
      </c>
      <c r="L87" s="317" t="s">
        <v>146</v>
      </c>
      <c r="M87" s="317"/>
      <c r="N87" s="333">
        <v>45507</v>
      </c>
      <c r="O87" s="333" t="s">
        <v>194</v>
      </c>
      <c r="P87" s="318">
        <v>33000</v>
      </c>
      <c r="Q87" s="328">
        <v>45511</v>
      </c>
      <c r="R87" s="317"/>
      <c r="S87" s="318"/>
      <c r="T87" s="318"/>
      <c r="U87" s="318"/>
      <c r="V87" s="323"/>
      <c r="W87" s="324"/>
      <c r="X87" s="106">
        <v>62</v>
      </c>
    </row>
    <row r="88" spans="1:24" s="106" customFormat="1" ht="144" x14ac:dyDescent="0.3">
      <c r="A88" s="316">
        <v>38</v>
      </c>
      <c r="B88" s="317" t="s">
        <v>56</v>
      </c>
      <c r="C88" s="317" t="s">
        <v>146</v>
      </c>
      <c r="D88" s="317" t="s">
        <v>147</v>
      </c>
      <c r="E88" s="317" t="s">
        <v>342</v>
      </c>
      <c r="F88" s="333">
        <v>45498</v>
      </c>
      <c r="G88" s="317" t="s">
        <v>343</v>
      </c>
      <c r="H88" s="552">
        <v>15299.3</v>
      </c>
      <c r="I88" s="319">
        <f>IF(X88 = 63, H88 + SUM(S88:S88) - SUM(T88:T88) - SUM(P88:P88) - V88,0)</f>
        <v>0</v>
      </c>
      <c r="J88" s="317" t="s">
        <v>344</v>
      </c>
      <c r="K88" s="317" t="s">
        <v>345</v>
      </c>
      <c r="L88" s="317" t="s">
        <v>146</v>
      </c>
      <c r="M88" s="317"/>
      <c r="N88" s="333">
        <v>45498</v>
      </c>
      <c r="O88" s="333" t="s">
        <v>165</v>
      </c>
      <c r="P88" s="318">
        <v>15299.3</v>
      </c>
      <c r="Q88" s="328"/>
      <c r="R88" s="317"/>
      <c r="S88" s="318"/>
      <c r="T88" s="318"/>
      <c r="U88" s="318"/>
      <c r="V88" s="323"/>
      <c r="W88" s="324"/>
      <c r="X88" s="106">
        <v>63</v>
      </c>
    </row>
    <row r="89" spans="1:24" s="106" customFormat="1" ht="144" x14ac:dyDescent="0.3">
      <c r="A89" s="316">
        <v>39</v>
      </c>
      <c r="B89" s="317" t="s">
        <v>56</v>
      </c>
      <c r="C89" s="317" t="s">
        <v>146</v>
      </c>
      <c r="D89" s="317" t="s">
        <v>147</v>
      </c>
      <c r="E89" s="317" t="s">
        <v>346</v>
      </c>
      <c r="F89" s="333">
        <v>45523</v>
      </c>
      <c r="G89" s="317" t="s">
        <v>350</v>
      </c>
      <c r="H89" s="552">
        <v>24900.799999999999</v>
      </c>
      <c r="I89" s="319">
        <f>IF(X89 = 64, H89 + SUM(S89:S89) - SUM(T89:T89) - SUM(P89:P89) - V89,0)</f>
        <v>0</v>
      </c>
      <c r="J89" s="317" t="s">
        <v>351</v>
      </c>
      <c r="K89" s="317" t="s">
        <v>352</v>
      </c>
      <c r="L89" s="317" t="s">
        <v>146</v>
      </c>
      <c r="M89" s="317"/>
      <c r="N89" s="333">
        <v>45523</v>
      </c>
      <c r="O89" s="333" t="s">
        <v>194</v>
      </c>
      <c r="P89" s="318">
        <v>24900.799999999999</v>
      </c>
      <c r="Q89" s="328">
        <v>45527</v>
      </c>
      <c r="R89" s="317"/>
      <c r="S89" s="318"/>
      <c r="T89" s="318"/>
      <c r="U89" s="318"/>
      <c r="V89" s="323"/>
      <c r="W89" s="324"/>
      <c r="X89" s="106">
        <v>64</v>
      </c>
    </row>
    <row r="90" spans="1:24" s="106" customFormat="1" ht="144" x14ac:dyDescent="0.3">
      <c r="A90" s="316">
        <v>40</v>
      </c>
      <c r="B90" s="317" t="s">
        <v>56</v>
      </c>
      <c r="C90" s="317" t="s">
        <v>146</v>
      </c>
      <c r="D90" s="317" t="s">
        <v>147</v>
      </c>
      <c r="E90" s="317" t="s">
        <v>355</v>
      </c>
      <c r="F90" s="333">
        <v>45524</v>
      </c>
      <c r="G90" s="317" t="s">
        <v>354</v>
      </c>
      <c r="H90" s="552">
        <v>48800</v>
      </c>
      <c r="I90" s="319">
        <f>IF(X90 = 65, H90 + SUM(S90:S90) - SUM(T90:T90) - SUM(P90:P90) - V90,0)</f>
        <v>0</v>
      </c>
      <c r="J90" s="317" t="s">
        <v>337</v>
      </c>
      <c r="K90" s="317" t="s">
        <v>353</v>
      </c>
      <c r="L90" s="317" t="s">
        <v>146</v>
      </c>
      <c r="M90" s="317"/>
      <c r="N90" s="333">
        <v>45524</v>
      </c>
      <c r="O90" s="333" t="s">
        <v>194</v>
      </c>
      <c r="P90" s="318">
        <v>48800</v>
      </c>
      <c r="Q90" s="328">
        <v>45527</v>
      </c>
      <c r="R90" s="317"/>
      <c r="S90" s="318"/>
      <c r="T90" s="318"/>
      <c r="U90" s="318"/>
      <c r="V90" s="323"/>
      <c r="W90" s="324"/>
      <c r="X90" s="106">
        <v>65</v>
      </c>
    </row>
    <row r="91" spans="1:24" s="106" customFormat="1" ht="144" x14ac:dyDescent="0.3">
      <c r="A91" s="316">
        <v>41</v>
      </c>
      <c r="B91" s="317" t="s">
        <v>56</v>
      </c>
      <c r="C91" s="317" t="s">
        <v>146</v>
      </c>
      <c r="D91" s="317" t="s">
        <v>147</v>
      </c>
      <c r="E91" s="317" t="s">
        <v>356</v>
      </c>
      <c r="F91" s="333">
        <v>45526</v>
      </c>
      <c r="G91" s="317" t="s">
        <v>357</v>
      </c>
      <c r="H91" s="552">
        <v>10990</v>
      </c>
      <c r="I91" s="319">
        <f>IF(X91 = 66, H91 + SUM(S91:S91) - SUM(T91:T91) - SUM(P91:P91) - V91,0)</f>
        <v>0</v>
      </c>
      <c r="J91" s="317" t="s">
        <v>358</v>
      </c>
      <c r="K91" s="317" t="s">
        <v>359</v>
      </c>
      <c r="L91" s="317" t="s">
        <v>146</v>
      </c>
      <c r="M91" s="317"/>
      <c r="N91" s="333">
        <v>45526</v>
      </c>
      <c r="O91" s="333" t="s">
        <v>194</v>
      </c>
      <c r="P91" s="318">
        <v>10990</v>
      </c>
      <c r="Q91" s="328">
        <v>45527</v>
      </c>
      <c r="R91" s="317"/>
      <c r="S91" s="318"/>
      <c r="T91" s="318"/>
      <c r="U91" s="318"/>
      <c r="V91" s="323"/>
      <c r="W91" s="324"/>
      <c r="X91" s="106">
        <v>66</v>
      </c>
    </row>
    <row r="92" spans="1:24" s="106" customFormat="1" ht="144" x14ac:dyDescent="0.3">
      <c r="A92" s="316">
        <v>42</v>
      </c>
      <c r="B92" s="317" t="s">
        <v>56</v>
      </c>
      <c r="C92" s="317" t="s">
        <v>146</v>
      </c>
      <c r="D92" s="317" t="s">
        <v>147</v>
      </c>
      <c r="E92" s="317" t="s">
        <v>360</v>
      </c>
      <c r="F92" s="333">
        <v>45527</v>
      </c>
      <c r="G92" s="317" t="s">
        <v>361</v>
      </c>
      <c r="H92" s="552">
        <v>19000</v>
      </c>
      <c r="I92" s="319">
        <f>IF(X92 = 67, H92 + SUM(S92:S92) - SUM(T92:T92) - SUM(P92:P92) - V92,0)</f>
        <v>0</v>
      </c>
      <c r="J92" s="317" t="s">
        <v>362</v>
      </c>
      <c r="K92" s="317" t="s">
        <v>363</v>
      </c>
      <c r="L92" s="317" t="s">
        <v>146</v>
      </c>
      <c r="M92" s="317"/>
      <c r="N92" s="333">
        <v>45527</v>
      </c>
      <c r="O92" s="333" t="s">
        <v>194</v>
      </c>
      <c r="P92" s="318">
        <v>19000</v>
      </c>
      <c r="Q92" s="328">
        <v>45533</v>
      </c>
      <c r="R92" s="317"/>
      <c r="S92" s="318"/>
      <c r="T92" s="318"/>
      <c r="U92" s="318"/>
      <c r="V92" s="323"/>
      <c r="W92" s="324"/>
      <c r="X92" s="106">
        <v>67</v>
      </c>
    </row>
    <row r="93" spans="1:24" s="106" customFormat="1" ht="144" x14ac:dyDescent="0.3">
      <c r="A93" s="338">
        <v>43</v>
      </c>
      <c r="B93" s="335" t="s">
        <v>56</v>
      </c>
      <c r="C93" s="335" t="s">
        <v>146</v>
      </c>
      <c r="D93" s="335" t="s">
        <v>147</v>
      </c>
      <c r="E93" s="335" t="s">
        <v>367</v>
      </c>
      <c r="F93" s="344">
        <v>45534</v>
      </c>
      <c r="G93" s="335" t="s">
        <v>368</v>
      </c>
      <c r="H93" s="553">
        <v>25080</v>
      </c>
      <c r="I93" s="337">
        <f>IF(X93 = 68, H93 + SUM(S93:S93) - SUM(T93:T93) - SUM(P93:P93) - V93,0)</f>
        <v>0</v>
      </c>
      <c r="J93" s="335" t="s">
        <v>369</v>
      </c>
      <c r="K93" s="335" t="s">
        <v>370</v>
      </c>
      <c r="L93" s="335" t="s">
        <v>146</v>
      </c>
      <c r="M93" s="335"/>
      <c r="N93" s="344"/>
      <c r="O93" s="344" t="s">
        <v>194</v>
      </c>
      <c r="P93" s="336">
        <v>25080</v>
      </c>
      <c r="Q93" s="343">
        <v>45552</v>
      </c>
      <c r="R93" s="335"/>
      <c r="S93" s="336"/>
      <c r="T93" s="336"/>
      <c r="U93" s="336"/>
      <c r="V93" s="339"/>
      <c r="W93" s="334"/>
      <c r="X93" s="106">
        <v>68</v>
      </c>
    </row>
    <row r="94" spans="1:24" s="106" customFormat="1" ht="144" x14ac:dyDescent="0.3">
      <c r="A94" s="338">
        <v>44</v>
      </c>
      <c r="B94" s="335" t="s">
        <v>56</v>
      </c>
      <c r="C94" s="335" t="s">
        <v>146</v>
      </c>
      <c r="D94" s="335" t="s">
        <v>147</v>
      </c>
      <c r="E94" s="335" t="s">
        <v>301</v>
      </c>
      <c r="F94" s="344">
        <v>45544</v>
      </c>
      <c r="G94" s="335" t="s">
        <v>373</v>
      </c>
      <c r="H94" s="553">
        <v>44473.61</v>
      </c>
      <c r="I94" s="337">
        <f>IF(X94 = 69, H94 + SUM(S94:S94) - SUM(T94:T94) - SUM(P94:P94) - V94,0)</f>
        <v>0</v>
      </c>
      <c r="J94" s="335" t="s">
        <v>323</v>
      </c>
      <c r="K94" s="335" t="s">
        <v>324</v>
      </c>
      <c r="L94" s="335" t="s">
        <v>146</v>
      </c>
      <c r="M94" s="335"/>
      <c r="N94" s="344"/>
      <c r="O94" s="344" t="s">
        <v>194</v>
      </c>
      <c r="P94" s="336">
        <v>44473.61</v>
      </c>
      <c r="Q94" s="343">
        <v>45551</v>
      </c>
      <c r="R94" s="335"/>
      <c r="S94" s="336"/>
      <c r="T94" s="336"/>
      <c r="U94" s="336"/>
      <c r="V94" s="339"/>
      <c r="W94" s="334"/>
      <c r="X94" s="106">
        <v>69</v>
      </c>
    </row>
    <row r="95" spans="1:24" s="106" customFormat="1" ht="144" x14ac:dyDescent="0.3">
      <c r="A95" s="338">
        <v>45</v>
      </c>
      <c r="B95" s="335" t="s">
        <v>56</v>
      </c>
      <c r="C95" s="335" t="s">
        <v>146</v>
      </c>
      <c r="D95" s="335" t="s">
        <v>147</v>
      </c>
      <c r="E95" s="335" t="s">
        <v>375</v>
      </c>
      <c r="F95" s="344">
        <v>45558</v>
      </c>
      <c r="G95" s="335" t="s">
        <v>376</v>
      </c>
      <c r="H95" s="553">
        <v>44600</v>
      </c>
      <c r="I95" s="337">
        <f>IF(X95 = 70, H95 + SUM(S95:S95) - SUM(T95:T95) - SUM(P95:P95) - V95,0)</f>
        <v>0</v>
      </c>
      <c r="J95" s="335" t="s">
        <v>337</v>
      </c>
      <c r="K95" s="335" t="s">
        <v>338</v>
      </c>
      <c r="L95" s="335" t="s">
        <v>146</v>
      </c>
      <c r="M95" s="335"/>
      <c r="N95" s="344"/>
      <c r="O95" s="344" t="s">
        <v>194</v>
      </c>
      <c r="P95" s="336">
        <v>44600</v>
      </c>
      <c r="Q95" s="343">
        <v>45559</v>
      </c>
      <c r="R95" s="335"/>
      <c r="S95" s="336"/>
      <c r="T95" s="336"/>
      <c r="U95" s="336"/>
      <c r="V95" s="339"/>
      <c r="W95" s="334"/>
      <c r="X95" s="106">
        <v>70</v>
      </c>
    </row>
    <row r="96" spans="1:24" s="106" customFormat="1" ht="144" x14ac:dyDescent="0.3">
      <c r="A96" s="361">
        <v>46</v>
      </c>
      <c r="B96" s="360" t="s">
        <v>56</v>
      </c>
      <c r="C96" s="360" t="s">
        <v>146</v>
      </c>
      <c r="D96" s="360" t="s">
        <v>147</v>
      </c>
      <c r="E96" s="360" t="s">
        <v>380</v>
      </c>
      <c r="F96" s="369">
        <v>45558</v>
      </c>
      <c r="G96" s="360" t="s">
        <v>381</v>
      </c>
      <c r="H96" s="554">
        <v>14096.53</v>
      </c>
      <c r="I96" s="364">
        <f>IF(X96 = 71, H96 + SUM(S96:S96) - SUM(T96:T96) - SUM(P96:P96) - V96,0)</f>
        <v>0</v>
      </c>
      <c r="J96" s="360" t="s">
        <v>382</v>
      </c>
      <c r="K96" s="360" t="s">
        <v>215</v>
      </c>
      <c r="L96" s="360" t="s">
        <v>146</v>
      </c>
      <c r="M96" s="360"/>
      <c r="N96" s="369">
        <v>45560</v>
      </c>
      <c r="O96" s="369" t="s">
        <v>194</v>
      </c>
      <c r="P96" s="363">
        <v>14096.53</v>
      </c>
      <c r="Q96" s="362">
        <v>45569</v>
      </c>
      <c r="R96" s="360"/>
      <c r="S96" s="363"/>
      <c r="T96" s="363"/>
      <c r="U96" s="363"/>
      <c r="V96" s="370"/>
      <c r="W96" s="368"/>
      <c r="X96" s="106">
        <v>71</v>
      </c>
    </row>
    <row r="97" spans="1:24" s="106" customFormat="1" ht="144" customHeight="1" x14ac:dyDescent="0.3">
      <c r="A97" s="702">
        <v>47</v>
      </c>
      <c r="B97" s="662" t="s">
        <v>56</v>
      </c>
      <c r="C97" s="662" t="s">
        <v>146</v>
      </c>
      <c r="D97" s="662" t="s">
        <v>147</v>
      </c>
      <c r="E97" s="662" t="s">
        <v>384</v>
      </c>
      <c r="F97" s="656">
        <v>45534</v>
      </c>
      <c r="G97" s="662" t="s">
        <v>223</v>
      </c>
      <c r="H97" s="726">
        <v>2400</v>
      </c>
      <c r="I97" s="728">
        <f>IF(X97 = 72, H97 + SUM(S97:S98) - SUM(T97:T98) - SUM(P97:P98) - V97,0)</f>
        <v>1200</v>
      </c>
      <c r="J97" s="662" t="s">
        <v>224</v>
      </c>
      <c r="K97" s="662" t="s">
        <v>157</v>
      </c>
      <c r="L97" s="662" t="s">
        <v>146</v>
      </c>
      <c r="M97" s="662"/>
      <c r="N97" s="522">
        <v>45565</v>
      </c>
      <c r="O97" s="656" t="s">
        <v>194</v>
      </c>
      <c r="P97" s="513">
        <v>600</v>
      </c>
      <c r="Q97" s="514">
        <v>45573</v>
      </c>
      <c r="R97" s="515"/>
      <c r="S97" s="513"/>
      <c r="T97" s="513"/>
      <c r="U97" s="659"/>
      <c r="V97" s="665"/>
      <c r="W97" s="668"/>
      <c r="X97" s="106">
        <v>72</v>
      </c>
    </row>
    <row r="98" spans="1:24" s="511" customFormat="1" x14ac:dyDescent="0.3">
      <c r="A98" s="704"/>
      <c r="B98" s="664"/>
      <c r="C98" s="664"/>
      <c r="D98" s="664"/>
      <c r="E98" s="664"/>
      <c r="F98" s="658"/>
      <c r="G98" s="664"/>
      <c r="H98" s="727"/>
      <c r="I98" s="729"/>
      <c r="J98" s="664"/>
      <c r="K98" s="664"/>
      <c r="L98" s="664"/>
      <c r="M98" s="664"/>
      <c r="N98" s="524">
        <v>45642</v>
      </c>
      <c r="O98" s="658"/>
      <c r="P98" s="519">
        <v>600</v>
      </c>
      <c r="Q98" s="520">
        <v>45643</v>
      </c>
      <c r="R98" s="521"/>
      <c r="S98" s="519"/>
      <c r="T98" s="519"/>
      <c r="U98" s="661"/>
      <c r="V98" s="667"/>
      <c r="W98" s="670"/>
      <c r="X98" s="511">
        <v>72</v>
      </c>
    </row>
    <row r="99" spans="1:24" s="106" customFormat="1" ht="144" x14ac:dyDescent="0.3">
      <c r="A99" s="361">
        <v>48</v>
      </c>
      <c r="B99" s="374" t="s">
        <v>56</v>
      </c>
      <c r="C99" s="374" t="s">
        <v>146</v>
      </c>
      <c r="D99" s="374" t="s">
        <v>147</v>
      </c>
      <c r="E99" s="374" t="s">
        <v>398</v>
      </c>
      <c r="F99" s="376">
        <v>45580</v>
      </c>
      <c r="G99" s="374" t="s">
        <v>217</v>
      </c>
      <c r="H99" s="554">
        <v>4800</v>
      </c>
      <c r="I99" s="364">
        <f>IF(X99 = 73, H99 + SUM(S99:S99) - SUM(T99:T99) - SUM(P99:P99) - V99,0)</f>
        <v>0</v>
      </c>
      <c r="J99" s="374" t="s">
        <v>397</v>
      </c>
      <c r="K99" s="374" t="s">
        <v>396</v>
      </c>
      <c r="L99" s="374" t="s">
        <v>146</v>
      </c>
      <c r="M99" s="374"/>
      <c r="N99" s="376">
        <v>45582</v>
      </c>
      <c r="O99" s="376" t="s">
        <v>194</v>
      </c>
      <c r="P99" s="363">
        <v>4800</v>
      </c>
      <c r="Q99" s="362">
        <v>45593</v>
      </c>
      <c r="R99" s="374"/>
      <c r="S99" s="363"/>
      <c r="T99" s="363"/>
      <c r="U99" s="363"/>
      <c r="V99" s="370"/>
      <c r="W99" s="368"/>
      <c r="X99" s="106">
        <v>73</v>
      </c>
    </row>
    <row r="100" spans="1:24" s="106" customFormat="1" ht="144" customHeight="1" x14ac:dyDescent="0.3">
      <c r="A100" s="617">
        <v>49</v>
      </c>
      <c r="B100" s="626" t="s">
        <v>56</v>
      </c>
      <c r="C100" s="626" t="s">
        <v>146</v>
      </c>
      <c r="D100" s="626" t="s">
        <v>147</v>
      </c>
      <c r="E100" s="626" t="s">
        <v>399</v>
      </c>
      <c r="F100" s="620">
        <v>45601</v>
      </c>
      <c r="G100" s="626" t="s">
        <v>216</v>
      </c>
      <c r="H100" s="632">
        <v>7870</v>
      </c>
      <c r="I100" s="635">
        <f>IF(X100 = 74, H100 + SUM(S100:S102) - SUM(T100:T102) - SUM(P100:P102) - V100,0)</f>
        <v>0</v>
      </c>
      <c r="J100" s="626" t="s">
        <v>159</v>
      </c>
      <c r="K100" s="626" t="s">
        <v>160</v>
      </c>
      <c r="L100" s="626" t="s">
        <v>146</v>
      </c>
      <c r="M100" s="626"/>
      <c r="N100" s="468">
        <v>45601</v>
      </c>
      <c r="O100" s="620" t="s">
        <v>194</v>
      </c>
      <c r="P100" s="462">
        <v>3800</v>
      </c>
      <c r="Q100" s="463">
        <v>45609</v>
      </c>
      <c r="R100" s="464"/>
      <c r="S100" s="462"/>
      <c r="T100" s="462"/>
      <c r="U100" s="623"/>
      <c r="V100" s="629"/>
      <c r="W100" s="638"/>
      <c r="X100" s="106">
        <v>74</v>
      </c>
    </row>
    <row r="101" spans="1:24" s="461" customFormat="1" x14ac:dyDescent="0.3">
      <c r="A101" s="618"/>
      <c r="B101" s="627"/>
      <c r="C101" s="627"/>
      <c r="D101" s="627"/>
      <c r="E101" s="627"/>
      <c r="F101" s="621"/>
      <c r="G101" s="627"/>
      <c r="H101" s="633"/>
      <c r="I101" s="636"/>
      <c r="J101" s="627"/>
      <c r="K101" s="627"/>
      <c r="L101" s="627"/>
      <c r="M101" s="627"/>
      <c r="N101" s="473">
        <v>45601</v>
      </c>
      <c r="O101" s="621"/>
      <c r="P101" s="470">
        <v>3350</v>
      </c>
      <c r="Q101" s="471">
        <v>45609</v>
      </c>
      <c r="R101" s="472"/>
      <c r="S101" s="470"/>
      <c r="T101" s="470"/>
      <c r="U101" s="624"/>
      <c r="V101" s="630"/>
      <c r="W101" s="639"/>
      <c r="X101" s="461">
        <v>74</v>
      </c>
    </row>
    <row r="102" spans="1:24" s="461" customFormat="1" x14ac:dyDescent="0.3">
      <c r="A102" s="619"/>
      <c r="B102" s="628"/>
      <c r="C102" s="628"/>
      <c r="D102" s="628"/>
      <c r="E102" s="628"/>
      <c r="F102" s="622"/>
      <c r="G102" s="628"/>
      <c r="H102" s="634"/>
      <c r="I102" s="637"/>
      <c r="J102" s="628"/>
      <c r="K102" s="628"/>
      <c r="L102" s="628"/>
      <c r="M102" s="628"/>
      <c r="N102" s="469">
        <v>45601</v>
      </c>
      <c r="O102" s="622"/>
      <c r="P102" s="465">
        <v>720</v>
      </c>
      <c r="Q102" s="466">
        <v>45609</v>
      </c>
      <c r="R102" s="467"/>
      <c r="S102" s="465"/>
      <c r="T102" s="465"/>
      <c r="U102" s="625"/>
      <c r="V102" s="631"/>
      <c r="W102" s="640"/>
      <c r="X102" s="461">
        <v>74</v>
      </c>
    </row>
    <row r="103" spans="1:24" s="106" customFormat="1" ht="144" x14ac:dyDescent="0.3">
      <c r="A103" s="408">
        <v>50</v>
      </c>
      <c r="B103" s="409" t="s">
        <v>56</v>
      </c>
      <c r="C103" s="409" t="s">
        <v>146</v>
      </c>
      <c r="D103" s="409" t="s">
        <v>147</v>
      </c>
      <c r="E103" s="409" t="s">
        <v>400</v>
      </c>
      <c r="F103" s="415">
        <v>45602</v>
      </c>
      <c r="G103" s="409" t="s">
        <v>402</v>
      </c>
      <c r="H103" s="555">
        <v>27000</v>
      </c>
      <c r="I103" s="411">
        <f>IF(X103 = 75, H103 + SUM(S103:S103) - SUM(T103:T103) - SUM(P103:P103) - V103,0)</f>
        <v>0</v>
      </c>
      <c r="J103" s="409" t="s">
        <v>159</v>
      </c>
      <c r="K103" s="409" t="s">
        <v>160</v>
      </c>
      <c r="L103" s="409" t="s">
        <v>146</v>
      </c>
      <c r="M103" s="409"/>
      <c r="N103" s="415">
        <v>45602</v>
      </c>
      <c r="O103" s="415" t="s">
        <v>194</v>
      </c>
      <c r="P103" s="410">
        <v>27000</v>
      </c>
      <c r="Q103" s="413">
        <v>45609</v>
      </c>
      <c r="R103" s="409"/>
      <c r="S103" s="410"/>
      <c r="T103" s="410"/>
      <c r="U103" s="410"/>
      <c r="V103" s="414"/>
      <c r="W103" s="412"/>
      <c r="X103" s="106">
        <v>75</v>
      </c>
    </row>
    <row r="104" spans="1:24" s="106" customFormat="1" ht="144" x14ac:dyDescent="0.3">
      <c r="A104" s="408">
        <v>51</v>
      </c>
      <c r="B104" s="409" t="s">
        <v>56</v>
      </c>
      <c r="C104" s="409" t="s">
        <v>146</v>
      </c>
      <c r="D104" s="409" t="s">
        <v>147</v>
      </c>
      <c r="E104" s="409" t="s">
        <v>401</v>
      </c>
      <c r="F104" s="415">
        <v>45603</v>
      </c>
      <c r="G104" s="409" t="s">
        <v>305</v>
      </c>
      <c r="H104" s="555">
        <v>15000</v>
      </c>
      <c r="I104" s="411">
        <f>IF(X104 = 76, H104 + SUM(S104:S104) - SUM(T104:T104) - SUM(P104:P104) - V104,0)</f>
        <v>0</v>
      </c>
      <c r="J104" s="409" t="s">
        <v>304</v>
      </c>
      <c r="K104" s="409" t="s">
        <v>303</v>
      </c>
      <c r="L104" s="409" t="s">
        <v>146</v>
      </c>
      <c r="M104" s="409"/>
      <c r="N104" s="415">
        <v>45603</v>
      </c>
      <c r="O104" s="415" t="s">
        <v>194</v>
      </c>
      <c r="P104" s="410">
        <v>15000</v>
      </c>
      <c r="Q104" s="413">
        <v>45607</v>
      </c>
      <c r="R104" s="409"/>
      <c r="S104" s="410"/>
      <c r="T104" s="410"/>
      <c r="U104" s="410"/>
      <c r="V104" s="414"/>
      <c r="W104" s="412"/>
      <c r="X104" s="106">
        <v>76</v>
      </c>
    </row>
    <row r="105" spans="1:24" s="106" customFormat="1" ht="108" customHeight="1" x14ac:dyDescent="0.3">
      <c r="A105" s="702">
        <v>52</v>
      </c>
      <c r="B105" s="662" t="s">
        <v>56</v>
      </c>
      <c r="C105" s="662" t="s">
        <v>146</v>
      </c>
      <c r="D105" s="662" t="s">
        <v>147</v>
      </c>
      <c r="E105" s="662" t="s">
        <v>403</v>
      </c>
      <c r="F105" s="656">
        <v>45603</v>
      </c>
      <c r="G105" s="662" t="s">
        <v>404</v>
      </c>
      <c r="H105" s="726">
        <v>16500</v>
      </c>
      <c r="I105" s="728">
        <f>IF(X105 = 77, H105 + SUM(S105:S106) - SUM(T105:T106) - SUM(P105:P106) - V105,0)</f>
        <v>0</v>
      </c>
      <c r="J105" s="662" t="s">
        <v>309</v>
      </c>
      <c r="K105" s="662" t="s">
        <v>310</v>
      </c>
      <c r="L105" s="662" t="s">
        <v>146</v>
      </c>
      <c r="M105" s="662"/>
      <c r="N105" s="522"/>
      <c r="O105" s="656" t="s">
        <v>405</v>
      </c>
      <c r="P105" s="513">
        <v>4950</v>
      </c>
      <c r="Q105" s="514">
        <v>45614</v>
      </c>
      <c r="R105" s="515"/>
      <c r="S105" s="513"/>
      <c r="T105" s="513"/>
      <c r="U105" s="659"/>
      <c r="V105" s="665"/>
      <c r="W105" s="668"/>
      <c r="X105" s="106">
        <v>77</v>
      </c>
    </row>
    <row r="106" spans="1:24" s="511" customFormat="1" x14ac:dyDescent="0.3">
      <c r="A106" s="704"/>
      <c r="B106" s="664"/>
      <c r="C106" s="664"/>
      <c r="D106" s="664"/>
      <c r="E106" s="664"/>
      <c r="F106" s="658"/>
      <c r="G106" s="664"/>
      <c r="H106" s="727"/>
      <c r="I106" s="729"/>
      <c r="J106" s="664"/>
      <c r="K106" s="664"/>
      <c r="L106" s="664"/>
      <c r="M106" s="664"/>
      <c r="N106" s="524"/>
      <c r="O106" s="658"/>
      <c r="P106" s="519">
        <v>11550</v>
      </c>
      <c r="Q106" s="520">
        <v>45631</v>
      </c>
      <c r="R106" s="521"/>
      <c r="S106" s="519"/>
      <c r="T106" s="519"/>
      <c r="U106" s="661"/>
      <c r="V106" s="667"/>
      <c r="W106" s="670"/>
      <c r="X106" s="511">
        <v>77</v>
      </c>
    </row>
    <row r="107" spans="1:24" s="106" customFormat="1" ht="144" x14ac:dyDescent="0.3">
      <c r="A107" s="438">
        <v>53</v>
      </c>
      <c r="B107" s="439" t="s">
        <v>56</v>
      </c>
      <c r="C107" s="439" t="s">
        <v>146</v>
      </c>
      <c r="D107" s="439" t="s">
        <v>147</v>
      </c>
      <c r="E107" s="439" t="s">
        <v>412</v>
      </c>
      <c r="F107" s="459">
        <v>45617</v>
      </c>
      <c r="G107" s="439" t="s">
        <v>413</v>
      </c>
      <c r="H107" s="557">
        <v>8000</v>
      </c>
      <c r="I107" s="442">
        <f>IF(X107 = 78, H107 + SUM(S107:S107) - SUM(T107:T107) - SUM(P107:P107) - V107,0)</f>
        <v>0</v>
      </c>
      <c r="J107" s="439" t="s">
        <v>414</v>
      </c>
      <c r="K107" s="439" t="s">
        <v>415</v>
      </c>
      <c r="L107" s="439" t="s">
        <v>146</v>
      </c>
      <c r="M107" s="439"/>
      <c r="N107" s="459">
        <v>45617</v>
      </c>
      <c r="O107" s="459" t="s">
        <v>194</v>
      </c>
      <c r="P107" s="441">
        <v>8000</v>
      </c>
      <c r="Q107" s="440">
        <v>45617</v>
      </c>
      <c r="R107" s="439"/>
      <c r="S107" s="441"/>
      <c r="T107" s="441"/>
      <c r="U107" s="441"/>
      <c r="V107" s="460"/>
      <c r="W107" s="446"/>
      <c r="X107" s="106">
        <v>78</v>
      </c>
    </row>
    <row r="108" spans="1:24" s="106" customFormat="1" ht="144" customHeight="1" x14ac:dyDescent="0.3">
      <c r="A108" s="493">
        <v>54</v>
      </c>
      <c r="B108" s="484" t="s">
        <v>56</v>
      </c>
      <c r="C108" s="484" t="s">
        <v>146</v>
      </c>
      <c r="D108" s="484" t="s">
        <v>147</v>
      </c>
      <c r="E108" s="484" t="s">
        <v>416</v>
      </c>
      <c r="F108" s="487">
        <v>45621</v>
      </c>
      <c r="G108" s="484" t="s">
        <v>288</v>
      </c>
      <c r="H108" s="556">
        <v>6027.86</v>
      </c>
      <c r="I108" s="494">
        <f>IF(X108 = 79, H108 + SUM(S108:S108) - SUM(T108:T108) - SUM(P108:P108) - V108,0)</f>
        <v>0</v>
      </c>
      <c r="J108" s="484" t="s">
        <v>289</v>
      </c>
      <c r="K108" s="484" t="s">
        <v>290</v>
      </c>
      <c r="L108" s="484" t="s">
        <v>146</v>
      </c>
      <c r="M108" s="484"/>
      <c r="N108" s="487"/>
      <c r="O108" s="487" t="s">
        <v>194</v>
      </c>
      <c r="P108" s="483">
        <v>6027.86</v>
      </c>
      <c r="Q108" s="492">
        <v>45623</v>
      </c>
      <c r="R108" s="484"/>
      <c r="S108" s="483"/>
      <c r="T108" s="483"/>
      <c r="U108" s="483"/>
      <c r="V108" s="495"/>
      <c r="W108" s="496"/>
      <c r="X108" s="106">
        <v>79</v>
      </c>
    </row>
    <row r="109" spans="1:24" s="106" customFormat="1" ht="144" x14ac:dyDescent="0.3">
      <c r="A109" s="475">
        <v>55</v>
      </c>
      <c r="B109" s="476" t="s">
        <v>56</v>
      </c>
      <c r="C109" s="476" t="s">
        <v>146</v>
      </c>
      <c r="D109" s="476" t="s">
        <v>147</v>
      </c>
      <c r="E109" s="476" t="s">
        <v>418</v>
      </c>
      <c r="F109" s="477">
        <v>45624</v>
      </c>
      <c r="G109" s="476" t="s">
        <v>417</v>
      </c>
      <c r="H109" s="558">
        <v>126720</v>
      </c>
      <c r="I109" s="480">
        <f>IF(X109 = 80, H109 + SUM(S109:S109) - SUM(T109:T109) - SUM(P109:P109) - V109,0)</f>
        <v>119040</v>
      </c>
      <c r="J109" s="476" t="s">
        <v>395</v>
      </c>
      <c r="K109" s="476" t="s">
        <v>379</v>
      </c>
      <c r="L109" s="476" t="s">
        <v>146</v>
      </c>
      <c r="M109" s="476"/>
      <c r="N109" s="477">
        <v>45626</v>
      </c>
      <c r="O109" s="477" t="s">
        <v>194</v>
      </c>
      <c r="P109" s="479">
        <v>7680</v>
      </c>
      <c r="Q109" s="478">
        <v>45636</v>
      </c>
      <c r="R109" s="476"/>
      <c r="S109" s="479"/>
      <c r="T109" s="479"/>
      <c r="U109" s="479"/>
      <c r="V109" s="482"/>
      <c r="W109" s="481"/>
      <c r="X109" s="106">
        <v>80</v>
      </c>
    </row>
    <row r="110" spans="1:24" s="106" customFormat="1" ht="144" x14ac:dyDescent="0.3">
      <c r="A110" s="499">
        <v>56</v>
      </c>
      <c r="B110" s="497" t="s">
        <v>56</v>
      </c>
      <c r="C110" s="497" t="s">
        <v>146</v>
      </c>
      <c r="D110" s="497" t="s">
        <v>147</v>
      </c>
      <c r="E110" s="497" t="s">
        <v>419</v>
      </c>
      <c r="F110" s="505">
        <v>45629</v>
      </c>
      <c r="G110" s="497" t="s">
        <v>420</v>
      </c>
      <c r="H110" s="559">
        <v>2288</v>
      </c>
      <c r="I110" s="501">
        <f>IF(X110 = 81, H110 + SUM(S110:S110) - SUM(T110:T110) - SUM(P110:P110) - V110,0)</f>
        <v>0</v>
      </c>
      <c r="J110" s="497" t="s">
        <v>421</v>
      </c>
      <c r="K110" s="497" t="s">
        <v>160</v>
      </c>
      <c r="L110" s="497" t="s">
        <v>146</v>
      </c>
      <c r="M110" s="497"/>
      <c r="N110" s="505">
        <v>45629</v>
      </c>
      <c r="O110" s="505" t="s">
        <v>194</v>
      </c>
      <c r="P110" s="500">
        <v>2288</v>
      </c>
      <c r="Q110" s="502">
        <v>45632</v>
      </c>
      <c r="R110" s="497"/>
      <c r="S110" s="500"/>
      <c r="T110" s="500"/>
      <c r="U110" s="500"/>
      <c r="V110" s="503"/>
      <c r="W110" s="504"/>
      <c r="X110" s="106">
        <v>81</v>
      </c>
    </row>
    <row r="111" spans="1:24" s="106" customFormat="1" ht="144" x14ac:dyDescent="0.3">
      <c r="A111" s="499">
        <v>57</v>
      </c>
      <c r="B111" s="497" t="s">
        <v>56</v>
      </c>
      <c r="C111" s="497" t="s">
        <v>146</v>
      </c>
      <c r="D111" s="497" t="s">
        <v>147</v>
      </c>
      <c r="E111" s="497" t="s">
        <v>244</v>
      </c>
      <c r="F111" s="505">
        <v>45629</v>
      </c>
      <c r="G111" s="497" t="s">
        <v>422</v>
      </c>
      <c r="H111" s="559">
        <v>6000</v>
      </c>
      <c r="I111" s="501">
        <f>IF(X111 = 82, H111 + SUM(S111:S111) - SUM(T111:T111) - SUM(P111:P111) - V111,0)</f>
        <v>0</v>
      </c>
      <c r="J111" s="497" t="s">
        <v>421</v>
      </c>
      <c r="K111" s="497" t="s">
        <v>160</v>
      </c>
      <c r="L111" s="497" t="s">
        <v>146</v>
      </c>
      <c r="M111" s="497"/>
      <c r="N111" s="505">
        <v>45629</v>
      </c>
      <c r="O111" s="505" t="s">
        <v>194</v>
      </c>
      <c r="P111" s="500">
        <v>6000</v>
      </c>
      <c r="Q111" s="502">
        <v>45632</v>
      </c>
      <c r="R111" s="497"/>
      <c r="S111" s="500"/>
      <c r="T111" s="500"/>
      <c r="U111" s="500"/>
      <c r="V111" s="503"/>
      <c r="W111" s="504"/>
      <c r="X111" s="106">
        <v>82</v>
      </c>
    </row>
    <row r="112" spans="1:24" s="106" customFormat="1" ht="144" x14ac:dyDescent="0.3">
      <c r="A112" s="499">
        <v>58</v>
      </c>
      <c r="B112" s="498" t="s">
        <v>56</v>
      </c>
      <c r="C112" s="498" t="s">
        <v>146</v>
      </c>
      <c r="D112" s="498" t="s">
        <v>147</v>
      </c>
      <c r="E112" s="498" t="s">
        <v>425</v>
      </c>
      <c r="F112" s="510">
        <v>45628</v>
      </c>
      <c r="G112" s="498" t="s">
        <v>336</v>
      </c>
      <c r="H112" s="559">
        <v>45336</v>
      </c>
      <c r="I112" s="501">
        <f>IF(X112 = 83, H112 + SUM(S112:S112) - SUM(T112:T112) - SUM(P112:P112) - V112,0)</f>
        <v>0</v>
      </c>
      <c r="J112" s="498" t="s">
        <v>337</v>
      </c>
      <c r="K112" s="498" t="s">
        <v>338</v>
      </c>
      <c r="L112" s="498" t="s">
        <v>146</v>
      </c>
      <c r="M112" s="498"/>
      <c r="N112" s="510">
        <v>45638</v>
      </c>
      <c r="O112" s="510" t="s">
        <v>194</v>
      </c>
      <c r="P112" s="500">
        <v>45336</v>
      </c>
      <c r="Q112" s="502">
        <v>45643</v>
      </c>
      <c r="R112" s="498"/>
      <c r="S112" s="500"/>
      <c r="T112" s="500"/>
      <c r="U112" s="500"/>
      <c r="V112" s="503"/>
      <c r="W112" s="504"/>
      <c r="X112" s="106">
        <v>83</v>
      </c>
    </row>
    <row r="113" spans="1:24" s="106" customFormat="1" ht="144" x14ac:dyDescent="0.3">
      <c r="A113" s="499">
        <v>59</v>
      </c>
      <c r="B113" s="498" t="s">
        <v>56</v>
      </c>
      <c r="C113" s="498" t="s">
        <v>146</v>
      </c>
      <c r="D113" s="498" t="s">
        <v>147</v>
      </c>
      <c r="E113" s="498" t="s">
        <v>429</v>
      </c>
      <c r="F113" s="510">
        <v>45638</v>
      </c>
      <c r="G113" s="498" t="s">
        <v>428</v>
      </c>
      <c r="H113" s="559">
        <v>15000</v>
      </c>
      <c r="I113" s="501">
        <f>IF(X113 = 84, H113 + SUM(S113:S113) - SUM(T113:T113) - SUM(P113:P113) - V113,0)</f>
        <v>0</v>
      </c>
      <c r="J113" s="498" t="s">
        <v>427</v>
      </c>
      <c r="K113" s="498" t="s">
        <v>426</v>
      </c>
      <c r="L113" s="498" t="s">
        <v>146</v>
      </c>
      <c r="M113" s="498"/>
      <c r="N113" s="510">
        <v>45639</v>
      </c>
      <c r="O113" s="510" t="s">
        <v>194</v>
      </c>
      <c r="P113" s="500">
        <v>15000</v>
      </c>
      <c r="Q113" s="502">
        <v>45643</v>
      </c>
      <c r="R113" s="498"/>
      <c r="S113" s="500"/>
      <c r="T113" s="500"/>
      <c r="U113" s="500"/>
      <c r="V113" s="503"/>
      <c r="W113" s="504"/>
      <c r="X113" s="106">
        <v>84</v>
      </c>
    </row>
    <row r="114" spans="1:24" s="106" customFormat="1" ht="144" x14ac:dyDescent="0.3">
      <c r="A114" s="499">
        <v>60</v>
      </c>
      <c r="B114" s="498" t="s">
        <v>56</v>
      </c>
      <c r="C114" s="498" t="s">
        <v>146</v>
      </c>
      <c r="D114" s="498" t="s">
        <v>147</v>
      </c>
      <c r="E114" s="498" t="s">
        <v>430</v>
      </c>
      <c r="F114" s="510">
        <v>45639</v>
      </c>
      <c r="G114" s="498" t="s">
        <v>431</v>
      </c>
      <c r="H114" s="559">
        <v>13360</v>
      </c>
      <c r="I114" s="501">
        <f>IF(X114 = 85, H114 + SUM(S114:S114) - SUM(T114:T114) - SUM(P114:P114) - V114,0)</f>
        <v>0</v>
      </c>
      <c r="J114" s="498" t="s">
        <v>382</v>
      </c>
      <c r="K114" s="498" t="s">
        <v>215</v>
      </c>
      <c r="L114" s="498" t="s">
        <v>146</v>
      </c>
      <c r="M114" s="498"/>
      <c r="N114" s="510">
        <v>45642</v>
      </c>
      <c r="O114" s="510" t="s">
        <v>165</v>
      </c>
      <c r="P114" s="500">
        <v>13360</v>
      </c>
      <c r="Q114" s="502">
        <v>45643</v>
      </c>
      <c r="R114" s="498"/>
      <c r="S114" s="500"/>
      <c r="T114" s="500"/>
      <c r="U114" s="500"/>
      <c r="V114" s="503"/>
      <c r="W114" s="504"/>
      <c r="X114" s="106">
        <v>85</v>
      </c>
    </row>
    <row r="115" spans="1:24" s="106" customFormat="1" ht="144" x14ac:dyDescent="0.3">
      <c r="A115" s="499">
        <v>61</v>
      </c>
      <c r="B115" s="509" t="s">
        <v>56</v>
      </c>
      <c r="C115" s="509" t="s">
        <v>146</v>
      </c>
      <c r="D115" s="509" t="s">
        <v>147</v>
      </c>
      <c r="E115" s="509" t="s">
        <v>130</v>
      </c>
      <c r="F115" s="512">
        <v>45643</v>
      </c>
      <c r="G115" s="509" t="s">
        <v>435</v>
      </c>
      <c r="H115" s="559">
        <v>1350</v>
      </c>
      <c r="I115" s="501">
        <f>IF(X115 = 86, H115 + SUM(S115:S115) - SUM(T115:T115) - SUM(P115:P115) - V115,0)</f>
        <v>0</v>
      </c>
      <c r="J115" s="509" t="s">
        <v>437</v>
      </c>
      <c r="K115" s="509" t="s">
        <v>436</v>
      </c>
      <c r="L115" s="509" t="s">
        <v>146</v>
      </c>
      <c r="M115" s="509"/>
      <c r="N115" s="512">
        <v>45643</v>
      </c>
      <c r="O115" s="512" t="s">
        <v>194</v>
      </c>
      <c r="P115" s="500">
        <v>1350</v>
      </c>
      <c r="Q115" s="502">
        <v>45646</v>
      </c>
      <c r="R115" s="509"/>
      <c r="S115" s="500"/>
      <c r="T115" s="500"/>
      <c r="U115" s="500"/>
      <c r="V115" s="503"/>
      <c r="W115" s="504"/>
      <c r="X115" s="106">
        <v>86</v>
      </c>
    </row>
    <row r="116" spans="1:24" s="106" customFormat="1" ht="144" x14ac:dyDescent="0.3">
      <c r="A116" s="499">
        <v>62</v>
      </c>
      <c r="B116" s="509" t="s">
        <v>56</v>
      </c>
      <c r="C116" s="509" t="s">
        <v>146</v>
      </c>
      <c r="D116" s="509" t="s">
        <v>147</v>
      </c>
      <c r="E116" s="509" t="s">
        <v>131</v>
      </c>
      <c r="F116" s="512">
        <v>45643</v>
      </c>
      <c r="G116" s="509" t="s">
        <v>438</v>
      </c>
      <c r="H116" s="559">
        <v>4980</v>
      </c>
      <c r="I116" s="501">
        <f>IF(X116 = 87, H116 + SUM(S116:S116) - SUM(T116:T116) - SUM(P116:P116) - V116,0)</f>
        <v>0</v>
      </c>
      <c r="J116" s="509" t="s">
        <v>437</v>
      </c>
      <c r="K116" s="509" t="s">
        <v>436</v>
      </c>
      <c r="L116" s="509" t="s">
        <v>146</v>
      </c>
      <c r="M116" s="509"/>
      <c r="N116" s="512">
        <v>45643</v>
      </c>
      <c r="O116" s="512" t="s">
        <v>194</v>
      </c>
      <c r="P116" s="500">
        <v>4980</v>
      </c>
      <c r="Q116" s="502">
        <v>45646</v>
      </c>
      <c r="R116" s="509"/>
      <c r="S116" s="500"/>
      <c r="T116" s="500"/>
      <c r="U116" s="500"/>
      <c r="V116" s="503"/>
      <c r="W116" s="504"/>
      <c r="X116" s="106">
        <v>87</v>
      </c>
    </row>
    <row r="117" spans="1:24" x14ac:dyDescent="0.3">
      <c r="A117" s="14"/>
      <c r="B117" s="108"/>
      <c r="C117" s="14"/>
      <c r="D117" s="14"/>
      <c r="E117" s="29"/>
      <c r="F117" s="14"/>
      <c r="G117" s="14"/>
      <c r="H117" s="539"/>
      <c r="I117" s="15"/>
      <c r="J117" s="14"/>
      <c r="K117" s="14"/>
      <c r="L117" s="14"/>
      <c r="M117" s="14"/>
      <c r="N117" s="29"/>
      <c r="O117" s="14"/>
      <c r="P117" s="104"/>
      <c r="Q117" s="29"/>
      <c r="R117" s="16"/>
      <c r="S117" s="16"/>
      <c r="T117" s="16"/>
      <c r="U117" s="29"/>
      <c r="V117" s="104"/>
      <c r="W117" s="16"/>
      <c r="X117" s="8">
        <v>89</v>
      </c>
    </row>
    <row r="118" spans="1:24" s="2" customFormat="1" x14ac:dyDescent="0.3">
      <c r="A118" s="41"/>
      <c r="B118" s="109"/>
      <c r="C118" s="41"/>
      <c r="D118" s="41"/>
      <c r="E118" s="42"/>
      <c r="F118" s="41"/>
      <c r="G118" s="41"/>
      <c r="H118" s="537"/>
      <c r="I118" s="44"/>
      <c r="J118" s="41"/>
      <c r="K118" s="41"/>
      <c r="L118" s="41"/>
      <c r="M118" s="41"/>
      <c r="N118" s="42"/>
      <c r="O118" s="41"/>
      <c r="P118" s="40"/>
      <c r="Q118" s="42"/>
      <c r="U118" s="42"/>
      <c r="V118" s="40"/>
    </row>
    <row r="119" spans="1:24" s="2" customFormat="1" x14ac:dyDescent="0.3">
      <c r="A119" s="41"/>
      <c r="B119" s="109"/>
      <c r="C119" s="41"/>
      <c r="D119" s="41"/>
      <c r="E119" s="42"/>
      <c r="F119" s="41"/>
      <c r="G119" s="41"/>
      <c r="H119" s="537"/>
      <c r="I119" s="44"/>
      <c r="J119" s="41"/>
      <c r="K119" s="41"/>
      <c r="L119" s="41"/>
      <c r="M119" s="41"/>
      <c r="N119" s="42"/>
      <c r="O119" s="41"/>
      <c r="P119" s="40"/>
      <c r="Q119" s="42"/>
      <c r="U119" s="42"/>
      <c r="V119" s="40"/>
    </row>
    <row r="120" spans="1:24" s="2" customFormat="1" x14ac:dyDescent="0.3">
      <c r="A120" s="41"/>
      <c r="B120" s="109"/>
      <c r="C120" s="41"/>
      <c r="D120" s="41"/>
      <c r="E120" s="42"/>
      <c r="F120" s="41"/>
      <c r="G120" s="41"/>
      <c r="H120" s="537"/>
      <c r="I120" s="44"/>
      <c r="J120" s="41"/>
      <c r="K120" s="41"/>
      <c r="L120" s="41"/>
      <c r="M120" s="41"/>
      <c r="N120" s="42"/>
      <c r="O120" s="41"/>
      <c r="P120" s="40"/>
      <c r="Q120" s="42"/>
      <c r="U120" s="42"/>
      <c r="V120" s="40"/>
    </row>
    <row r="121" spans="1:24" s="2" customFormat="1" x14ac:dyDescent="0.3">
      <c r="A121" s="41"/>
      <c r="B121" s="109"/>
      <c r="C121" s="41"/>
      <c r="D121" s="41"/>
      <c r="E121" s="42"/>
      <c r="F121" s="41"/>
      <c r="G121" s="41"/>
      <c r="H121" s="537"/>
      <c r="I121" s="44"/>
      <c r="J121" s="41"/>
      <c r="K121" s="41"/>
      <c r="L121" s="41"/>
      <c r="M121" s="41"/>
      <c r="N121" s="42"/>
      <c r="O121" s="41"/>
      <c r="P121" s="40"/>
      <c r="Q121" s="42"/>
      <c r="U121" s="42"/>
      <c r="V121" s="40"/>
    </row>
    <row r="122" spans="1:24" s="2" customFormat="1" x14ac:dyDescent="0.3">
      <c r="A122" s="41"/>
      <c r="B122" s="109"/>
      <c r="C122" s="41"/>
      <c r="D122" s="41"/>
      <c r="E122" s="42"/>
      <c r="F122" s="41"/>
      <c r="G122" s="41"/>
      <c r="H122" s="537"/>
      <c r="I122" s="44"/>
      <c r="J122" s="41"/>
      <c r="K122" s="41"/>
      <c r="L122" s="41"/>
      <c r="M122" s="41"/>
      <c r="N122" s="42"/>
      <c r="O122" s="41"/>
      <c r="P122" s="40"/>
      <c r="Q122" s="42"/>
      <c r="U122" s="42"/>
      <c r="V122" s="40"/>
    </row>
  </sheetData>
  <sheetProtection password="EB34" sheet="1" objects="1" scenarios="1" formatCells="0" formatColumns="0" formatRows="0"/>
  <mergeCells count="194">
    <mergeCell ref="F49:F56"/>
    <mergeCell ref="G49:G56"/>
    <mergeCell ref="H49:H56"/>
    <mergeCell ref="I49:I56"/>
    <mergeCell ref="A97:A98"/>
    <mergeCell ref="O97:O98"/>
    <mergeCell ref="U97:U98"/>
    <mergeCell ref="B97:B98"/>
    <mergeCell ref="V97:V98"/>
    <mergeCell ref="C97:C98"/>
    <mergeCell ref="O80:O81"/>
    <mergeCell ref="U80:U81"/>
    <mergeCell ref="B80:B81"/>
    <mergeCell ref="V80:V81"/>
    <mergeCell ref="C80:C81"/>
    <mergeCell ref="M80:M81"/>
    <mergeCell ref="K80:K81"/>
    <mergeCell ref="L80:L81"/>
    <mergeCell ref="D80:D81"/>
    <mergeCell ref="E80:E81"/>
    <mergeCell ref="F80:F81"/>
    <mergeCell ref="A80:A81"/>
    <mergeCell ref="J68:J69"/>
    <mergeCell ref="K68:K69"/>
    <mergeCell ref="W97:W98"/>
    <mergeCell ref="D97:D98"/>
    <mergeCell ref="E97:E98"/>
    <mergeCell ref="F97:F98"/>
    <mergeCell ref="G97:G98"/>
    <mergeCell ref="H97:H98"/>
    <mergeCell ref="I97:I98"/>
    <mergeCell ref="J97:J98"/>
    <mergeCell ref="K97:K98"/>
    <mergeCell ref="L97:L98"/>
    <mergeCell ref="M97:M98"/>
    <mergeCell ref="A9:A19"/>
    <mergeCell ref="O9:O19"/>
    <mergeCell ref="U9:U19"/>
    <mergeCell ref="B9:B19"/>
    <mergeCell ref="V9:V19"/>
    <mergeCell ref="C9:C19"/>
    <mergeCell ref="D20:D37"/>
    <mergeCell ref="E20:E37"/>
    <mergeCell ref="F20:F37"/>
    <mergeCell ref="G20:G37"/>
    <mergeCell ref="H20:H37"/>
    <mergeCell ref="I20:I37"/>
    <mergeCell ref="J20:J37"/>
    <mergeCell ref="K20:K37"/>
    <mergeCell ref="L20:L37"/>
    <mergeCell ref="A20:A37"/>
    <mergeCell ref="O20:O37"/>
    <mergeCell ref="U20:U37"/>
    <mergeCell ref="B20:B37"/>
    <mergeCell ref="V20:V37"/>
    <mergeCell ref="C20:C37"/>
    <mergeCell ref="M105:M106"/>
    <mergeCell ref="W68:W69"/>
    <mergeCell ref="D68:D69"/>
    <mergeCell ref="E68:E69"/>
    <mergeCell ref="O68:O69"/>
    <mergeCell ref="W80:W81"/>
    <mergeCell ref="W9:W19"/>
    <mergeCell ref="D9:D19"/>
    <mergeCell ref="E9:E19"/>
    <mergeCell ref="F9:F19"/>
    <mergeCell ref="G9:G19"/>
    <mergeCell ref="H9:H19"/>
    <mergeCell ref="I9:I19"/>
    <mergeCell ref="J9:J19"/>
    <mergeCell ref="K9:K19"/>
    <mergeCell ref="L9:L19"/>
    <mergeCell ref="M9:M19"/>
    <mergeCell ref="J49:J56"/>
    <mergeCell ref="K49:K56"/>
    <mergeCell ref="L49:L56"/>
    <mergeCell ref="M20:M37"/>
    <mergeCell ref="M49:M56"/>
    <mergeCell ref="D49:D56"/>
    <mergeCell ref="E49:E56"/>
    <mergeCell ref="W20:W37"/>
    <mergeCell ref="A105:A106"/>
    <mergeCell ref="O105:O106"/>
    <mergeCell ref="U105:U106"/>
    <mergeCell ref="B105:B106"/>
    <mergeCell ref="V105:V106"/>
    <mergeCell ref="C105:C106"/>
    <mergeCell ref="W105:W106"/>
    <mergeCell ref="D105:D106"/>
    <mergeCell ref="E105:E106"/>
    <mergeCell ref="F105:F106"/>
    <mergeCell ref="G105:G106"/>
    <mergeCell ref="H105:H106"/>
    <mergeCell ref="I105:I106"/>
    <mergeCell ref="J105:J106"/>
    <mergeCell ref="K105:K106"/>
    <mergeCell ref="L105:L106"/>
    <mergeCell ref="A78:A79"/>
    <mergeCell ref="B78:B79"/>
    <mergeCell ref="C78:C79"/>
    <mergeCell ref="G80:G81"/>
    <mergeCell ref="H80:H81"/>
    <mergeCell ref="I80:I81"/>
    <mergeCell ref="J80:J81"/>
    <mergeCell ref="W78:W79"/>
    <mergeCell ref="D78:D79"/>
    <mergeCell ref="E78:E79"/>
    <mergeCell ref="F78:F79"/>
    <mergeCell ref="G78:G79"/>
    <mergeCell ref="H78:H79"/>
    <mergeCell ref="I78:I79"/>
    <mergeCell ref="O78:O79"/>
    <mergeCell ref="U78:U79"/>
    <mergeCell ref="V78:V79"/>
    <mergeCell ref="J78:J79"/>
    <mergeCell ref="K78:K79"/>
    <mergeCell ref="L78:L79"/>
    <mergeCell ref="M78:M79"/>
    <mergeCell ref="L68:L69"/>
    <mergeCell ref="M68:M69"/>
    <mergeCell ref="W64:W67"/>
    <mergeCell ref="D64:D67"/>
    <mergeCell ref="E64:E67"/>
    <mergeCell ref="F64:F67"/>
    <mergeCell ref="G64:G67"/>
    <mergeCell ref="H64:H67"/>
    <mergeCell ref="I64:I67"/>
    <mergeCell ref="J64:J67"/>
    <mergeCell ref="K64:K67"/>
    <mergeCell ref="L64:L67"/>
    <mergeCell ref="M64:M67"/>
    <mergeCell ref="O64:O67"/>
    <mergeCell ref="U64:U67"/>
    <mergeCell ref="S2:U2"/>
    <mergeCell ref="N2:O2"/>
    <mergeCell ref="J4:K4"/>
    <mergeCell ref="M4:N4"/>
    <mergeCell ref="O4:P4"/>
    <mergeCell ref="K2:M2"/>
    <mergeCell ref="A3:E3"/>
    <mergeCell ref="U68:U69"/>
    <mergeCell ref="B68:B69"/>
    <mergeCell ref="A68:A69"/>
    <mergeCell ref="A64:A67"/>
    <mergeCell ref="A46:A48"/>
    <mergeCell ref="D46:D48"/>
    <mergeCell ref="E46:E48"/>
    <mergeCell ref="F46:F48"/>
    <mergeCell ref="G46:G48"/>
    <mergeCell ref="H46:H48"/>
    <mergeCell ref="I46:I48"/>
    <mergeCell ref="J46:J48"/>
    <mergeCell ref="K46:K48"/>
    <mergeCell ref="L46:L48"/>
    <mergeCell ref="A49:A56"/>
    <mergeCell ref="C68:C69"/>
    <mergeCell ref="B64:B67"/>
    <mergeCell ref="W100:W102"/>
    <mergeCell ref="O46:O48"/>
    <mergeCell ref="U46:U48"/>
    <mergeCell ref="B46:B48"/>
    <mergeCell ref="V46:V48"/>
    <mergeCell ref="C46:C48"/>
    <mergeCell ref="W46:W48"/>
    <mergeCell ref="J100:J102"/>
    <mergeCell ref="K100:K102"/>
    <mergeCell ref="L100:L102"/>
    <mergeCell ref="O49:O56"/>
    <mergeCell ref="U49:U56"/>
    <mergeCell ref="B49:B56"/>
    <mergeCell ref="V49:V56"/>
    <mergeCell ref="C49:C56"/>
    <mergeCell ref="W49:W56"/>
    <mergeCell ref="M46:M48"/>
    <mergeCell ref="V68:V69"/>
    <mergeCell ref="V64:V67"/>
    <mergeCell ref="C64:C67"/>
    <mergeCell ref="F68:F69"/>
    <mergeCell ref="G68:G69"/>
    <mergeCell ref="H68:H69"/>
    <mergeCell ref="I68:I69"/>
    <mergeCell ref="A100:A102"/>
    <mergeCell ref="O100:O102"/>
    <mergeCell ref="U100:U102"/>
    <mergeCell ref="B100:B102"/>
    <mergeCell ref="V100:V102"/>
    <mergeCell ref="C100:C102"/>
    <mergeCell ref="M100:M102"/>
    <mergeCell ref="D100:D102"/>
    <mergeCell ref="E100:E102"/>
    <mergeCell ref="F100:F102"/>
    <mergeCell ref="G100:G102"/>
    <mergeCell ref="H100:H102"/>
    <mergeCell ref="I100:I10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</sheetPr>
  <dimension ref="A1:X308"/>
  <sheetViews>
    <sheetView showGridLines="0" zoomScale="60" zoomScaleNormal="60" workbookViewId="0">
      <pane ySplit="8" topLeftCell="A148" activePane="bottomLeft" state="frozen"/>
      <selection pane="bottomLeft" activeCell="P275" sqref="P275"/>
    </sheetView>
  </sheetViews>
  <sheetFormatPr defaultColWidth="0" defaultRowHeight="18" x14ac:dyDescent="0.3"/>
  <cols>
    <col min="1" max="1" width="14" style="3" customWidth="1"/>
    <col min="2" max="2" width="40.33203125" style="3" customWidth="1"/>
    <col min="3" max="3" width="34" style="3" customWidth="1"/>
    <col min="4" max="4" width="25.44140625" style="3" customWidth="1"/>
    <col min="5" max="5" width="23.88671875" style="3" customWidth="1"/>
    <col min="6" max="6" width="32.44140625" style="3" customWidth="1"/>
    <col min="7" max="7" width="27.44140625" style="12" customWidth="1"/>
    <col min="8" max="8" width="38.44140625" style="536" bestFit="1" customWidth="1"/>
    <col min="9" max="9" width="33" style="3" customWidth="1"/>
    <col min="10" max="11" width="27.33203125" style="32" customWidth="1"/>
    <col min="12" max="12" width="21.44140625" style="3" customWidth="1"/>
    <col min="13" max="13" width="26.5546875" style="3" customWidth="1"/>
    <col min="14" max="14" width="28.109375" style="12" customWidth="1"/>
    <col min="15" max="15" width="39.33203125" style="3" customWidth="1"/>
    <col min="16" max="16" width="24.6640625" style="32" customWidth="1"/>
    <col min="17" max="17" width="24.44140625" style="12" customWidth="1"/>
    <col min="18" max="18" width="23.44140625" style="3" customWidth="1"/>
    <col min="19" max="19" width="25.6640625" style="3" customWidth="1"/>
    <col min="20" max="20" width="26" style="3" customWidth="1"/>
    <col min="21" max="21" width="23.6640625" style="12" customWidth="1"/>
    <col min="22" max="22" width="24" style="11" customWidth="1"/>
    <col min="23" max="23" width="21.88671875" style="8" customWidth="1"/>
    <col min="24" max="16384" width="9.109375" style="8" hidden="1"/>
  </cols>
  <sheetData>
    <row r="1" spans="1:24" ht="18.600000000000001" thickBot="1" x14ac:dyDescent="0.35">
      <c r="H1" s="109"/>
    </row>
    <row r="2" spans="1:24" ht="39.9" customHeight="1" thickBot="1" x14ac:dyDescent="0.35">
      <c r="E2" s="86"/>
      <c r="F2" s="858" t="s">
        <v>24</v>
      </c>
      <c r="G2" s="859"/>
      <c r="H2" s="538">
        <f>SUM(H9:H9999)</f>
        <v>5854342.4000000004</v>
      </c>
      <c r="I2" s="86"/>
      <c r="J2" s="39"/>
      <c r="N2" s="683" t="s">
        <v>137</v>
      </c>
      <c r="O2" s="685"/>
      <c r="P2" s="87">
        <f>SUM(P9:P9999)</f>
        <v>4580144.6400000006</v>
      </c>
      <c r="R2" s="86"/>
      <c r="S2" s="683" t="s">
        <v>45</v>
      </c>
      <c r="T2" s="684"/>
      <c r="U2" s="685"/>
      <c r="V2" s="88">
        <f>SUM(V9:V9999)</f>
        <v>635681.28000000003</v>
      </c>
    </row>
    <row r="3" spans="1:24" x14ac:dyDescent="0.3">
      <c r="F3" s="38"/>
      <c r="G3" s="38"/>
      <c r="H3" s="19"/>
      <c r="I3" s="38"/>
      <c r="J3" s="39"/>
      <c r="K3" s="40"/>
      <c r="L3" s="41"/>
      <c r="M3" s="41"/>
      <c r="N3" s="38"/>
      <c r="O3" s="38"/>
      <c r="P3" s="39"/>
      <c r="Q3" s="42"/>
      <c r="R3" s="38"/>
      <c r="S3" s="38"/>
      <c r="T3" s="38"/>
      <c r="U3" s="38"/>
      <c r="V3" s="43"/>
    </row>
    <row r="4" spans="1:24" ht="39.9" customHeight="1" x14ac:dyDescent="0.3">
      <c r="F4" s="38"/>
      <c r="G4" s="38"/>
      <c r="H4" s="19"/>
      <c r="I4" s="38"/>
      <c r="J4" s="39"/>
      <c r="K4" s="40"/>
      <c r="L4" s="41"/>
      <c r="M4" s="41"/>
      <c r="N4" s="38"/>
      <c r="O4" s="38"/>
      <c r="P4" s="39"/>
      <c r="Q4" s="42"/>
      <c r="R4" s="38"/>
      <c r="S4" s="38"/>
      <c r="T4" s="38"/>
      <c r="U4" s="38"/>
      <c r="V4" s="43"/>
    </row>
    <row r="5" spans="1:24" x14ac:dyDescent="0.3">
      <c r="H5" s="109"/>
    </row>
    <row r="6" spans="1:24" ht="60" customHeight="1" x14ac:dyDescent="0.3">
      <c r="A6" s="23" t="s">
        <v>8</v>
      </c>
      <c r="B6" s="23" t="s">
        <v>47</v>
      </c>
      <c r="C6" s="23" t="s">
        <v>145</v>
      </c>
      <c r="D6" s="23" t="s">
        <v>10</v>
      </c>
      <c r="E6" s="23" t="s">
        <v>1</v>
      </c>
      <c r="F6" s="23" t="s">
        <v>2</v>
      </c>
      <c r="G6" s="30" t="s">
        <v>3</v>
      </c>
      <c r="H6" s="560" t="s">
        <v>4</v>
      </c>
      <c r="I6" s="23" t="s">
        <v>22</v>
      </c>
      <c r="J6" s="33" t="s">
        <v>46</v>
      </c>
      <c r="K6" s="33" t="s">
        <v>5</v>
      </c>
      <c r="L6" s="23" t="s">
        <v>106</v>
      </c>
      <c r="M6" s="23" t="s">
        <v>39</v>
      </c>
      <c r="N6" s="30" t="s">
        <v>37</v>
      </c>
      <c r="O6" s="23" t="s">
        <v>6</v>
      </c>
      <c r="P6" s="33" t="s">
        <v>23</v>
      </c>
      <c r="Q6" s="30" t="s">
        <v>9</v>
      </c>
      <c r="R6" s="28" t="s">
        <v>40</v>
      </c>
      <c r="S6" s="28" t="s">
        <v>103</v>
      </c>
      <c r="T6" s="28" t="s">
        <v>104</v>
      </c>
      <c r="U6" s="27" t="s">
        <v>41</v>
      </c>
      <c r="V6" s="31" t="s">
        <v>43</v>
      </c>
      <c r="W6" s="1" t="s">
        <v>42</v>
      </c>
    </row>
    <row r="7" spans="1:24" ht="17.399999999999999" customHeight="1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541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</row>
    <row r="8" spans="1:24" s="18" customFormat="1" ht="108" hidden="1" x14ac:dyDescent="0.3">
      <c r="A8" s="26" t="s">
        <v>36</v>
      </c>
      <c r="B8" s="26" t="s">
        <v>56</v>
      </c>
      <c r="C8" s="26"/>
      <c r="D8" s="26" t="s">
        <v>58</v>
      </c>
      <c r="E8" s="26" t="s">
        <v>57</v>
      </c>
      <c r="F8" s="77">
        <v>43839</v>
      </c>
      <c r="G8" s="25" t="s">
        <v>59</v>
      </c>
      <c r="H8" s="561">
        <v>20000</v>
      </c>
      <c r="I8" s="24">
        <v>0</v>
      </c>
      <c r="J8" s="76">
        <v>2353019514</v>
      </c>
      <c r="K8" s="34" t="s">
        <v>61</v>
      </c>
      <c r="L8" s="26"/>
      <c r="M8" s="26" t="s">
        <v>62</v>
      </c>
      <c r="N8" s="25">
        <v>43840</v>
      </c>
      <c r="O8" s="26" t="s">
        <v>63</v>
      </c>
      <c r="P8" s="34">
        <v>20000</v>
      </c>
      <c r="Q8" s="25">
        <v>43840</v>
      </c>
      <c r="R8" s="26"/>
      <c r="S8" s="72"/>
      <c r="T8" s="72"/>
      <c r="U8" s="25"/>
      <c r="V8" s="24"/>
      <c r="W8" s="13" t="s">
        <v>64</v>
      </c>
    </row>
    <row r="9" spans="1:24" s="107" customFormat="1" ht="108" customHeight="1" x14ac:dyDescent="0.3">
      <c r="A9" s="839">
        <v>1</v>
      </c>
      <c r="B9" s="831" t="s">
        <v>56</v>
      </c>
      <c r="C9" s="831" t="s">
        <v>146</v>
      </c>
      <c r="D9" s="831" t="s">
        <v>147</v>
      </c>
      <c r="E9" s="831" t="s">
        <v>110</v>
      </c>
      <c r="F9" s="833">
        <v>45289</v>
      </c>
      <c r="G9" s="835" t="s">
        <v>164</v>
      </c>
      <c r="H9" s="837">
        <v>316800</v>
      </c>
      <c r="I9" s="843">
        <f>IF(X9 = 18, H9 + SUM(S9:S10) - SUM(T9:T10) - SUM(P9:P10) - V9,0)</f>
        <v>0</v>
      </c>
      <c r="J9" s="845">
        <v>2311299612</v>
      </c>
      <c r="K9" s="847" t="s">
        <v>193</v>
      </c>
      <c r="L9" s="831" t="s">
        <v>146</v>
      </c>
      <c r="M9" s="831"/>
      <c r="N9" s="153">
        <v>45322</v>
      </c>
      <c r="O9" s="833" t="s">
        <v>194</v>
      </c>
      <c r="P9" s="147">
        <v>95254.25</v>
      </c>
      <c r="Q9" s="148">
        <v>45330</v>
      </c>
      <c r="R9" s="149"/>
      <c r="S9" s="147"/>
      <c r="T9" s="147"/>
      <c r="U9" s="833">
        <v>45366</v>
      </c>
      <c r="V9" s="841">
        <v>121670</v>
      </c>
      <c r="W9" s="829"/>
      <c r="X9" s="107">
        <v>18</v>
      </c>
    </row>
    <row r="10" spans="1:24" s="2" customFormat="1" x14ac:dyDescent="0.3">
      <c r="A10" s="840"/>
      <c r="B10" s="832"/>
      <c r="C10" s="832"/>
      <c r="D10" s="832"/>
      <c r="E10" s="832"/>
      <c r="F10" s="834"/>
      <c r="G10" s="836"/>
      <c r="H10" s="838"/>
      <c r="I10" s="844"/>
      <c r="J10" s="846"/>
      <c r="K10" s="848"/>
      <c r="L10" s="832"/>
      <c r="M10" s="832"/>
      <c r="N10" s="154">
        <v>45351</v>
      </c>
      <c r="O10" s="834"/>
      <c r="P10" s="150">
        <v>99875.75</v>
      </c>
      <c r="Q10" s="151">
        <v>45357</v>
      </c>
      <c r="R10" s="152"/>
      <c r="S10" s="150"/>
      <c r="T10" s="150"/>
      <c r="U10" s="834"/>
      <c r="V10" s="842"/>
      <c r="W10" s="830"/>
      <c r="X10" s="2">
        <v>18</v>
      </c>
    </row>
    <row r="11" spans="1:24" s="107" customFormat="1" ht="36" customHeight="1" x14ac:dyDescent="0.3">
      <c r="A11" s="702">
        <v>2</v>
      </c>
      <c r="B11" s="662" t="s">
        <v>56</v>
      </c>
      <c r="C11" s="662" t="s">
        <v>146</v>
      </c>
      <c r="D11" s="662" t="s">
        <v>147</v>
      </c>
      <c r="E11" s="662" t="s">
        <v>113</v>
      </c>
      <c r="F11" s="656">
        <v>45289</v>
      </c>
      <c r="G11" s="967" t="s">
        <v>166</v>
      </c>
      <c r="H11" s="726">
        <v>38000</v>
      </c>
      <c r="I11" s="728">
        <f>IF(X11 = 19, H11 + SUM(S11:S22) - SUM(T11:T22) - SUM(P11:P22) - V11,0)</f>
        <v>3190.0199999999968</v>
      </c>
      <c r="J11" s="889">
        <v>2353246210</v>
      </c>
      <c r="K11" s="892" t="s">
        <v>150</v>
      </c>
      <c r="L11" s="662" t="s">
        <v>146</v>
      </c>
      <c r="M11" s="662"/>
      <c r="N11" s="522">
        <v>45308</v>
      </c>
      <c r="O11" s="656" t="s">
        <v>167</v>
      </c>
      <c r="P11" s="513">
        <v>1314.6</v>
      </c>
      <c r="Q11" s="514">
        <v>45324</v>
      </c>
      <c r="R11" s="515"/>
      <c r="S11" s="513"/>
      <c r="T11" s="513"/>
      <c r="U11" s="659"/>
      <c r="V11" s="939"/>
      <c r="W11" s="668"/>
      <c r="X11" s="107">
        <v>19</v>
      </c>
    </row>
    <row r="12" spans="1:24" s="2" customFormat="1" x14ac:dyDescent="0.3">
      <c r="A12" s="703"/>
      <c r="B12" s="663"/>
      <c r="C12" s="663"/>
      <c r="D12" s="663"/>
      <c r="E12" s="663"/>
      <c r="F12" s="657"/>
      <c r="G12" s="968"/>
      <c r="H12" s="735"/>
      <c r="I12" s="736"/>
      <c r="J12" s="890"/>
      <c r="K12" s="893"/>
      <c r="L12" s="663"/>
      <c r="M12" s="663"/>
      <c r="N12" s="523">
        <v>45337</v>
      </c>
      <c r="O12" s="657"/>
      <c r="P12" s="516">
        <v>2741.88</v>
      </c>
      <c r="Q12" s="517">
        <v>45349</v>
      </c>
      <c r="R12" s="518"/>
      <c r="S12" s="516"/>
      <c r="T12" s="516"/>
      <c r="U12" s="660"/>
      <c r="V12" s="940"/>
      <c r="W12" s="669"/>
      <c r="X12" s="2">
        <v>19</v>
      </c>
    </row>
    <row r="13" spans="1:24" s="2" customFormat="1" x14ac:dyDescent="0.3">
      <c r="A13" s="703"/>
      <c r="B13" s="663"/>
      <c r="C13" s="663"/>
      <c r="D13" s="663"/>
      <c r="E13" s="663"/>
      <c r="F13" s="657"/>
      <c r="G13" s="968"/>
      <c r="H13" s="735"/>
      <c r="I13" s="736"/>
      <c r="J13" s="890"/>
      <c r="K13" s="893"/>
      <c r="L13" s="663"/>
      <c r="M13" s="663"/>
      <c r="N13" s="523">
        <v>45365</v>
      </c>
      <c r="O13" s="657"/>
      <c r="P13" s="516">
        <v>2253.6</v>
      </c>
      <c r="Q13" s="517">
        <v>45366</v>
      </c>
      <c r="R13" s="518"/>
      <c r="S13" s="516"/>
      <c r="T13" s="516"/>
      <c r="U13" s="660"/>
      <c r="V13" s="940"/>
      <c r="W13" s="669"/>
      <c r="X13" s="2">
        <v>19</v>
      </c>
    </row>
    <row r="14" spans="1:24" s="2" customFormat="1" x14ac:dyDescent="0.3">
      <c r="A14" s="703"/>
      <c r="B14" s="663"/>
      <c r="C14" s="663"/>
      <c r="D14" s="663"/>
      <c r="E14" s="663"/>
      <c r="F14" s="657"/>
      <c r="G14" s="968"/>
      <c r="H14" s="735"/>
      <c r="I14" s="736"/>
      <c r="J14" s="890"/>
      <c r="K14" s="893"/>
      <c r="L14" s="663"/>
      <c r="M14" s="663"/>
      <c r="N14" s="523">
        <v>45400</v>
      </c>
      <c r="O14" s="657"/>
      <c r="P14" s="516">
        <v>4056.48</v>
      </c>
      <c r="Q14" s="517">
        <v>45406</v>
      </c>
      <c r="R14" s="518"/>
      <c r="S14" s="516"/>
      <c r="T14" s="516"/>
      <c r="U14" s="660"/>
      <c r="V14" s="940"/>
      <c r="W14" s="669"/>
      <c r="X14" s="2">
        <v>19</v>
      </c>
    </row>
    <row r="15" spans="1:24" s="2" customFormat="1" x14ac:dyDescent="0.3">
      <c r="A15" s="703"/>
      <c r="B15" s="663"/>
      <c r="C15" s="663"/>
      <c r="D15" s="663"/>
      <c r="E15" s="663"/>
      <c r="F15" s="657"/>
      <c r="G15" s="968"/>
      <c r="H15" s="735"/>
      <c r="I15" s="736"/>
      <c r="J15" s="890"/>
      <c r="K15" s="893"/>
      <c r="L15" s="663"/>
      <c r="M15" s="663"/>
      <c r="N15" s="523">
        <v>45429</v>
      </c>
      <c r="O15" s="657"/>
      <c r="P15" s="516">
        <v>3868.68</v>
      </c>
      <c r="Q15" s="517">
        <v>45440</v>
      </c>
      <c r="R15" s="518"/>
      <c r="S15" s="516"/>
      <c r="T15" s="516"/>
      <c r="U15" s="660"/>
      <c r="V15" s="940"/>
      <c r="W15" s="669"/>
      <c r="X15" s="2">
        <v>19</v>
      </c>
    </row>
    <row r="16" spans="1:24" s="2" customFormat="1" x14ac:dyDescent="0.3">
      <c r="A16" s="703"/>
      <c r="B16" s="663"/>
      <c r="C16" s="663"/>
      <c r="D16" s="663"/>
      <c r="E16" s="663"/>
      <c r="F16" s="657"/>
      <c r="G16" s="968"/>
      <c r="H16" s="735"/>
      <c r="I16" s="736"/>
      <c r="J16" s="890"/>
      <c r="K16" s="893"/>
      <c r="L16" s="663"/>
      <c r="M16" s="663"/>
      <c r="N16" s="523">
        <v>45461</v>
      </c>
      <c r="O16" s="657"/>
      <c r="P16" s="516">
        <v>3605.76</v>
      </c>
      <c r="Q16" s="517">
        <v>45470</v>
      </c>
      <c r="R16" s="518"/>
      <c r="S16" s="516"/>
      <c r="T16" s="516"/>
      <c r="U16" s="660"/>
      <c r="V16" s="940"/>
      <c r="W16" s="669"/>
      <c r="X16" s="2">
        <v>19</v>
      </c>
    </row>
    <row r="17" spans="1:24" s="2" customFormat="1" x14ac:dyDescent="0.3">
      <c r="A17" s="703"/>
      <c r="B17" s="663"/>
      <c r="C17" s="663"/>
      <c r="D17" s="663"/>
      <c r="E17" s="663"/>
      <c r="F17" s="657"/>
      <c r="G17" s="968"/>
      <c r="H17" s="735"/>
      <c r="I17" s="736"/>
      <c r="J17" s="890"/>
      <c r="K17" s="893"/>
      <c r="L17" s="663"/>
      <c r="M17" s="663"/>
      <c r="N17" s="523">
        <v>45489</v>
      </c>
      <c r="O17" s="657"/>
      <c r="P17" s="516">
        <v>2764.64</v>
      </c>
      <c r="Q17" s="517">
        <v>45512</v>
      </c>
      <c r="R17" s="518"/>
      <c r="S17" s="516"/>
      <c r="T17" s="516"/>
      <c r="U17" s="660"/>
      <c r="V17" s="940"/>
      <c r="W17" s="669"/>
      <c r="X17" s="2">
        <v>19</v>
      </c>
    </row>
    <row r="18" spans="1:24" s="2" customFormat="1" x14ac:dyDescent="0.3">
      <c r="A18" s="703"/>
      <c r="B18" s="663"/>
      <c r="C18" s="663"/>
      <c r="D18" s="663"/>
      <c r="E18" s="663"/>
      <c r="F18" s="657"/>
      <c r="G18" s="968"/>
      <c r="H18" s="735"/>
      <c r="I18" s="736"/>
      <c r="J18" s="890"/>
      <c r="K18" s="893"/>
      <c r="L18" s="663"/>
      <c r="M18" s="663"/>
      <c r="N18" s="523">
        <v>45525</v>
      </c>
      <c r="O18" s="657"/>
      <c r="P18" s="516">
        <v>617.58000000000004</v>
      </c>
      <c r="Q18" s="517">
        <v>45530</v>
      </c>
      <c r="R18" s="518"/>
      <c r="S18" s="516"/>
      <c r="T18" s="516"/>
      <c r="U18" s="660"/>
      <c r="V18" s="940"/>
      <c r="W18" s="669"/>
      <c r="X18" s="2">
        <v>19</v>
      </c>
    </row>
    <row r="19" spans="1:24" s="2" customFormat="1" x14ac:dyDescent="0.3">
      <c r="A19" s="703"/>
      <c r="B19" s="663"/>
      <c r="C19" s="663"/>
      <c r="D19" s="663"/>
      <c r="E19" s="663"/>
      <c r="F19" s="657"/>
      <c r="G19" s="968"/>
      <c r="H19" s="735"/>
      <c r="I19" s="736"/>
      <c r="J19" s="890"/>
      <c r="K19" s="893"/>
      <c r="L19" s="663"/>
      <c r="M19" s="663"/>
      <c r="N19" s="523">
        <v>45552</v>
      </c>
      <c r="O19" s="657"/>
      <c r="P19" s="516">
        <v>2882.04</v>
      </c>
      <c r="Q19" s="517">
        <v>45574</v>
      </c>
      <c r="R19" s="518"/>
      <c r="S19" s="516"/>
      <c r="T19" s="516"/>
      <c r="U19" s="660"/>
      <c r="V19" s="940"/>
      <c r="W19" s="669"/>
      <c r="X19" s="2">
        <v>19</v>
      </c>
    </row>
    <row r="20" spans="1:24" s="2" customFormat="1" x14ac:dyDescent="0.3">
      <c r="A20" s="703"/>
      <c r="B20" s="663"/>
      <c r="C20" s="663"/>
      <c r="D20" s="663"/>
      <c r="E20" s="663"/>
      <c r="F20" s="657"/>
      <c r="G20" s="968"/>
      <c r="H20" s="735"/>
      <c r="I20" s="736"/>
      <c r="J20" s="890"/>
      <c r="K20" s="893"/>
      <c r="L20" s="663"/>
      <c r="M20" s="663"/>
      <c r="N20" s="523">
        <v>45580</v>
      </c>
      <c r="O20" s="657"/>
      <c r="P20" s="516">
        <v>3911.34</v>
      </c>
      <c r="Q20" s="517">
        <v>45586</v>
      </c>
      <c r="R20" s="518"/>
      <c r="S20" s="516"/>
      <c r="T20" s="516"/>
      <c r="U20" s="660"/>
      <c r="V20" s="940"/>
      <c r="W20" s="669"/>
      <c r="X20" s="2">
        <v>19</v>
      </c>
    </row>
    <row r="21" spans="1:24" s="2" customFormat="1" x14ac:dyDescent="0.3">
      <c r="A21" s="703"/>
      <c r="B21" s="663"/>
      <c r="C21" s="663"/>
      <c r="D21" s="663"/>
      <c r="E21" s="663"/>
      <c r="F21" s="657"/>
      <c r="G21" s="968"/>
      <c r="H21" s="735"/>
      <c r="I21" s="736"/>
      <c r="J21" s="890"/>
      <c r="K21" s="893"/>
      <c r="L21" s="663"/>
      <c r="M21" s="663"/>
      <c r="N21" s="523">
        <v>45616</v>
      </c>
      <c r="O21" s="657"/>
      <c r="P21" s="516">
        <v>3705.48</v>
      </c>
      <c r="Q21" s="517">
        <v>45632</v>
      </c>
      <c r="R21" s="518"/>
      <c r="S21" s="516"/>
      <c r="T21" s="516"/>
      <c r="U21" s="660"/>
      <c r="V21" s="940"/>
      <c r="W21" s="669"/>
      <c r="X21" s="2">
        <v>19</v>
      </c>
    </row>
    <row r="22" spans="1:24" s="2" customFormat="1" x14ac:dyDescent="0.3">
      <c r="A22" s="704"/>
      <c r="B22" s="664"/>
      <c r="C22" s="664"/>
      <c r="D22" s="664"/>
      <c r="E22" s="664"/>
      <c r="F22" s="658"/>
      <c r="G22" s="969"/>
      <c r="H22" s="727"/>
      <c r="I22" s="729"/>
      <c r="J22" s="891"/>
      <c r="K22" s="894"/>
      <c r="L22" s="664"/>
      <c r="M22" s="664"/>
      <c r="N22" s="524">
        <v>45642</v>
      </c>
      <c r="O22" s="658"/>
      <c r="P22" s="519">
        <v>3087.9</v>
      </c>
      <c r="Q22" s="520">
        <v>45646</v>
      </c>
      <c r="R22" s="521"/>
      <c r="S22" s="519"/>
      <c r="T22" s="519"/>
      <c r="U22" s="661"/>
      <c r="V22" s="941"/>
      <c r="W22" s="670"/>
      <c r="X22" s="2">
        <v>19</v>
      </c>
    </row>
    <row r="23" spans="1:24" s="107" customFormat="1" ht="37.5" customHeight="1" x14ac:dyDescent="0.3">
      <c r="A23" s="942">
        <v>3</v>
      </c>
      <c r="B23" s="864" t="s">
        <v>56</v>
      </c>
      <c r="C23" s="864" t="s">
        <v>146</v>
      </c>
      <c r="D23" s="864" t="s">
        <v>171</v>
      </c>
      <c r="E23" s="864" t="s">
        <v>172</v>
      </c>
      <c r="F23" s="867">
        <v>45289</v>
      </c>
      <c r="G23" s="870" t="s">
        <v>168</v>
      </c>
      <c r="H23" s="873">
        <v>408918.36</v>
      </c>
      <c r="I23" s="876">
        <f>IF(X23 = 20, H23 + SUM(S23:S49) - SUM(T23:T49) - SUM(P23:P49) - V23,0)</f>
        <v>6.2755134422332048E-11</v>
      </c>
      <c r="J23" s="879">
        <v>2308119595</v>
      </c>
      <c r="K23" s="882" t="s">
        <v>149</v>
      </c>
      <c r="L23" s="864" t="s">
        <v>146</v>
      </c>
      <c r="M23" s="864"/>
      <c r="N23" s="434">
        <v>45292</v>
      </c>
      <c r="O23" s="867" t="s">
        <v>169</v>
      </c>
      <c r="P23" s="416">
        <v>14788.98</v>
      </c>
      <c r="Q23" s="417">
        <v>45309</v>
      </c>
      <c r="R23" s="418"/>
      <c r="S23" s="416"/>
      <c r="T23" s="416"/>
      <c r="U23" s="945" t="s">
        <v>424</v>
      </c>
      <c r="V23" s="948">
        <v>4947.38</v>
      </c>
      <c r="W23" s="951"/>
      <c r="X23" s="107">
        <v>20</v>
      </c>
    </row>
    <row r="24" spans="1:24" s="2" customFormat="1" x14ac:dyDescent="0.3">
      <c r="A24" s="943"/>
      <c r="B24" s="865"/>
      <c r="C24" s="865"/>
      <c r="D24" s="865"/>
      <c r="E24" s="865"/>
      <c r="F24" s="868"/>
      <c r="G24" s="871"/>
      <c r="H24" s="874"/>
      <c r="I24" s="877"/>
      <c r="J24" s="880"/>
      <c r="K24" s="883"/>
      <c r="L24" s="865"/>
      <c r="M24" s="865"/>
      <c r="N24" s="435">
        <v>45323</v>
      </c>
      <c r="O24" s="868"/>
      <c r="P24" s="419">
        <v>11091.73</v>
      </c>
      <c r="Q24" s="420">
        <v>45323</v>
      </c>
      <c r="R24" s="421"/>
      <c r="S24" s="419"/>
      <c r="T24" s="419"/>
      <c r="U24" s="946"/>
      <c r="V24" s="949"/>
      <c r="W24" s="952"/>
      <c r="X24" s="2">
        <v>20</v>
      </c>
    </row>
    <row r="25" spans="1:24" s="2" customFormat="1" x14ac:dyDescent="0.3">
      <c r="A25" s="943"/>
      <c r="B25" s="865"/>
      <c r="C25" s="865"/>
      <c r="D25" s="865"/>
      <c r="E25" s="865"/>
      <c r="F25" s="868"/>
      <c r="G25" s="871"/>
      <c r="H25" s="874"/>
      <c r="I25" s="877"/>
      <c r="J25" s="880"/>
      <c r="K25" s="883"/>
      <c r="L25" s="865"/>
      <c r="M25" s="865"/>
      <c r="N25" s="435">
        <v>45322</v>
      </c>
      <c r="O25" s="868"/>
      <c r="P25" s="419">
        <v>24763.91</v>
      </c>
      <c r="Q25" s="420">
        <v>45337</v>
      </c>
      <c r="R25" s="421"/>
      <c r="S25" s="419"/>
      <c r="T25" s="419"/>
      <c r="U25" s="946"/>
      <c r="V25" s="949"/>
      <c r="W25" s="952"/>
      <c r="X25" s="2">
        <v>20</v>
      </c>
    </row>
    <row r="26" spans="1:24" s="2" customFormat="1" x14ac:dyDescent="0.3">
      <c r="A26" s="943"/>
      <c r="B26" s="865"/>
      <c r="C26" s="865"/>
      <c r="D26" s="865"/>
      <c r="E26" s="865"/>
      <c r="F26" s="868"/>
      <c r="G26" s="871"/>
      <c r="H26" s="874"/>
      <c r="I26" s="877"/>
      <c r="J26" s="880"/>
      <c r="K26" s="883"/>
      <c r="L26" s="865"/>
      <c r="M26" s="865"/>
      <c r="N26" s="435">
        <v>45323</v>
      </c>
      <c r="O26" s="868"/>
      <c r="P26" s="419">
        <v>23574.47</v>
      </c>
      <c r="Q26" s="420">
        <v>45337</v>
      </c>
      <c r="R26" s="421"/>
      <c r="S26" s="419"/>
      <c r="T26" s="419"/>
      <c r="U26" s="946"/>
      <c r="V26" s="949"/>
      <c r="W26" s="952"/>
      <c r="X26" s="2">
        <v>20</v>
      </c>
    </row>
    <row r="27" spans="1:24" s="2" customFormat="1" x14ac:dyDescent="0.3">
      <c r="A27" s="943"/>
      <c r="B27" s="865"/>
      <c r="C27" s="865"/>
      <c r="D27" s="865"/>
      <c r="E27" s="865"/>
      <c r="F27" s="868"/>
      <c r="G27" s="871"/>
      <c r="H27" s="874"/>
      <c r="I27" s="877"/>
      <c r="J27" s="880"/>
      <c r="K27" s="883"/>
      <c r="L27" s="865"/>
      <c r="M27" s="865"/>
      <c r="N27" s="435">
        <v>45352</v>
      </c>
      <c r="O27" s="868"/>
      <c r="P27" s="419">
        <v>17677.57</v>
      </c>
      <c r="Q27" s="420">
        <v>45352</v>
      </c>
      <c r="R27" s="421"/>
      <c r="S27" s="419"/>
      <c r="T27" s="419"/>
      <c r="U27" s="946"/>
      <c r="V27" s="949"/>
      <c r="W27" s="952"/>
      <c r="X27" s="2">
        <v>20</v>
      </c>
    </row>
    <row r="28" spans="1:24" s="2" customFormat="1" x14ac:dyDescent="0.3">
      <c r="A28" s="943"/>
      <c r="B28" s="865"/>
      <c r="C28" s="865"/>
      <c r="D28" s="865"/>
      <c r="E28" s="865"/>
      <c r="F28" s="868"/>
      <c r="G28" s="871"/>
      <c r="H28" s="874"/>
      <c r="I28" s="877"/>
      <c r="J28" s="880"/>
      <c r="K28" s="883"/>
      <c r="L28" s="865"/>
      <c r="M28" s="865"/>
      <c r="N28" s="435">
        <v>45351</v>
      </c>
      <c r="O28" s="868"/>
      <c r="P28" s="419">
        <v>23828.47</v>
      </c>
      <c r="Q28" s="420">
        <v>45365</v>
      </c>
      <c r="R28" s="421"/>
      <c r="S28" s="419"/>
      <c r="T28" s="419"/>
      <c r="U28" s="946"/>
      <c r="V28" s="949"/>
      <c r="W28" s="952"/>
      <c r="X28" s="2">
        <v>20</v>
      </c>
    </row>
    <row r="29" spans="1:24" s="2" customFormat="1" x14ac:dyDescent="0.3">
      <c r="A29" s="943"/>
      <c r="B29" s="865"/>
      <c r="C29" s="865"/>
      <c r="D29" s="865"/>
      <c r="E29" s="865"/>
      <c r="F29" s="868"/>
      <c r="G29" s="871"/>
      <c r="H29" s="874"/>
      <c r="I29" s="877"/>
      <c r="J29" s="880"/>
      <c r="K29" s="883"/>
      <c r="L29" s="865"/>
      <c r="M29" s="865"/>
      <c r="N29" s="435">
        <v>45352</v>
      </c>
      <c r="O29" s="868"/>
      <c r="P29" s="419">
        <v>25693.51</v>
      </c>
      <c r="Q29" s="420">
        <v>45365</v>
      </c>
      <c r="R29" s="421"/>
      <c r="S29" s="419"/>
      <c r="T29" s="419"/>
      <c r="U29" s="946"/>
      <c r="V29" s="949"/>
      <c r="W29" s="952"/>
      <c r="X29" s="2">
        <v>20</v>
      </c>
    </row>
    <row r="30" spans="1:24" s="2" customFormat="1" x14ac:dyDescent="0.3">
      <c r="A30" s="943"/>
      <c r="B30" s="865"/>
      <c r="C30" s="865"/>
      <c r="D30" s="865"/>
      <c r="E30" s="865"/>
      <c r="F30" s="868"/>
      <c r="G30" s="871"/>
      <c r="H30" s="874"/>
      <c r="I30" s="877"/>
      <c r="J30" s="880"/>
      <c r="K30" s="883"/>
      <c r="L30" s="865"/>
      <c r="M30" s="865"/>
      <c r="N30" s="435">
        <v>45383</v>
      </c>
      <c r="O30" s="868"/>
      <c r="P30" s="419">
        <v>19266.78</v>
      </c>
      <c r="Q30" s="420">
        <v>45383</v>
      </c>
      <c r="R30" s="421"/>
      <c r="S30" s="419"/>
      <c r="T30" s="419"/>
      <c r="U30" s="946"/>
      <c r="V30" s="949"/>
      <c r="W30" s="952"/>
      <c r="X30" s="2">
        <v>20</v>
      </c>
    </row>
    <row r="31" spans="1:24" s="2" customFormat="1" x14ac:dyDescent="0.3">
      <c r="A31" s="943"/>
      <c r="B31" s="865"/>
      <c r="C31" s="865"/>
      <c r="D31" s="865"/>
      <c r="E31" s="865"/>
      <c r="F31" s="868"/>
      <c r="G31" s="871"/>
      <c r="H31" s="874"/>
      <c r="I31" s="877"/>
      <c r="J31" s="880"/>
      <c r="K31" s="883"/>
      <c r="L31" s="865"/>
      <c r="M31" s="865"/>
      <c r="N31" s="435">
        <v>45382</v>
      </c>
      <c r="O31" s="868"/>
      <c r="P31" s="419">
        <v>7373.75</v>
      </c>
      <c r="Q31" s="420">
        <v>45399</v>
      </c>
      <c r="R31" s="421"/>
      <c r="S31" s="419"/>
      <c r="T31" s="419"/>
      <c r="U31" s="946"/>
      <c r="V31" s="949"/>
      <c r="W31" s="952"/>
      <c r="X31" s="2">
        <v>20</v>
      </c>
    </row>
    <row r="32" spans="1:24" s="2" customFormat="1" x14ac:dyDescent="0.3">
      <c r="A32" s="943"/>
      <c r="B32" s="865"/>
      <c r="C32" s="865"/>
      <c r="D32" s="865"/>
      <c r="E32" s="865"/>
      <c r="F32" s="868"/>
      <c r="G32" s="871"/>
      <c r="H32" s="874"/>
      <c r="I32" s="877"/>
      <c r="J32" s="880"/>
      <c r="K32" s="883"/>
      <c r="L32" s="865"/>
      <c r="M32" s="865"/>
      <c r="N32" s="435">
        <v>45383</v>
      </c>
      <c r="O32" s="868"/>
      <c r="P32" s="419">
        <v>22360.69</v>
      </c>
      <c r="Q32" s="420">
        <v>45399</v>
      </c>
      <c r="R32" s="421"/>
      <c r="S32" s="419"/>
      <c r="T32" s="419"/>
      <c r="U32" s="946"/>
      <c r="V32" s="949"/>
      <c r="W32" s="952"/>
      <c r="X32" s="2">
        <v>20</v>
      </c>
    </row>
    <row r="33" spans="1:24" s="2" customFormat="1" x14ac:dyDescent="0.3">
      <c r="A33" s="943"/>
      <c r="B33" s="865"/>
      <c r="C33" s="865"/>
      <c r="D33" s="865"/>
      <c r="E33" s="865"/>
      <c r="F33" s="868"/>
      <c r="G33" s="871"/>
      <c r="H33" s="874"/>
      <c r="I33" s="877"/>
      <c r="J33" s="880"/>
      <c r="K33" s="883"/>
      <c r="L33" s="865"/>
      <c r="M33" s="865"/>
      <c r="N33" s="435">
        <v>45413</v>
      </c>
      <c r="O33" s="868"/>
      <c r="P33" s="419">
        <v>16773.78</v>
      </c>
      <c r="Q33" s="420">
        <v>45415</v>
      </c>
      <c r="R33" s="421"/>
      <c r="S33" s="419"/>
      <c r="T33" s="419"/>
      <c r="U33" s="946"/>
      <c r="V33" s="949"/>
      <c r="W33" s="952"/>
      <c r="X33" s="2">
        <v>20</v>
      </c>
    </row>
    <row r="34" spans="1:24" s="2" customFormat="1" x14ac:dyDescent="0.3">
      <c r="A34" s="943"/>
      <c r="B34" s="865"/>
      <c r="C34" s="865"/>
      <c r="D34" s="865"/>
      <c r="E34" s="865"/>
      <c r="F34" s="868"/>
      <c r="G34" s="871"/>
      <c r="H34" s="874"/>
      <c r="I34" s="877"/>
      <c r="J34" s="880"/>
      <c r="K34" s="883"/>
      <c r="L34" s="865"/>
      <c r="M34" s="865"/>
      <c r="N34" s="435">
        <v>45412</v>
      </c>
      <c r="O34" s="868"/>
      <c r="P34" s="419">
        <v>1878.36</v>
      </c>
      <c r="Q34" s="420">
        <v>45427</v>
      </c>
      <c r="R34" s="421"/>
      <c r="S34" s="419"/>
      <c r="T34" s="419"/>
      <c r="U34" s="946"/>
      <c r="V34" s="949"/>
      <c r="W34" s="952"/>
      <c r="X34" s="2">
        <v>20</v>
      </c>
    </row>
    <row r="35" spans="1:24" s="2" customFormat="1" x14ac:dyDescent="0.3">
      <c r="A35" s="943"/>
      <c r="B35" s="865"/>
      <c r="C35" s="865"/>
      <c r="D35" s="865"/>
      <c r="E35" s="865"/>
      <c r="F35" s="868"/>
      <c r="G35" s="871"/>
      <c r="H35" s="874"/>
      <c r="I35" s="877"/>
      <c r="J35" s="880"/>
      <c r="K35" s="883"/>
      <c r="L35" s="865"/>
      <c r="M35" s="865"/>
      <c r="N35" s="435">
        <v>45413</v>
      </c>
      <c r="O35" s="868"/>
      <c r="P35" s="419">
        <v>19135.13</v>
      </c>
      <c r="Q35" s="420">
        <v>45427</v>
      </c>
      <c r="R35" s="421"/>
      <c r="S35" s="419"/>
      <c r="T35" s="419"/>
      <c r="U35" s="946"/>
      <c r="V35" s="949"/>
      <c r="W35" s="952"/>
      <c r="X35" s="2">
        <v>20</v>
      </c>
    </row>
    <row r="36" spans="1:24" s="2" customFormat="1" x14ac:dyDescent="0.3">
      <c r="A36" s="943"/>
      <c r="B36" s="865"/>
      <c r="C36" s="865"/>
      <c r="D36" s="865"/>
      <c r="E36" s="865"/>
      <c r="F36" s="868"/>
      <c r="G36" s="871"/>
      <c r="H36" s="874"/>
      <c r="I36" s="877"/>
      <c r="J36" s="880"/>
      <c r="K36" s="883"/>
      <c r="L36" s="865"/>
      <c r="M36" s="865"/>
      <c r="N36" s="435">
        <v>45444</v>
      </c>
      <c r="O36" s="868"/>
      <c r="P36" s="419">
        <v>14351.35</v>
      </c>
      <c r="Q36" s="420">
        <v>45446</v>
      </c>
      <c r="R36" s="421"/>
      <c r="S36" s="419"/>
      <c r="T36" s="419"/>
      <c r="U36" s="946"/>
      <c r="V36" s="949"/>
      <c r="W36" s="952"/>
      <c r="X36" s="2">
        <v>20</v>
      </c>
    </row>
    <row r="37" spans="1:24" s="2" customFormat="1" x14ac:dyDescent="0.3">
      <c r="A37" s="943"/>
      <c r="B37" s="865"/>
      <c r="C37" s="865"/>
      <c r="D37" s="865"/>
      <c r="E37" s="865"/>
      <c r="F37" s="868"/>
      <c r="G37" s="871"/>
      <c r="H37" s="874"/>
      <c r="I37" s="877"/>
      <c r="J37" s="880"/>
      <c r="K37" s="883"/>
      <c r="L37" s="865"/>
      <c r="M37" s="865"/>
      <c r="N37" s="435">
        <v>45443</v>
      </c>
      <c r="O37" s="868"/>
      <c r="P37" s="419">
        <v>1715.94</v>
      </c>
      <c r="Q37" s="420">
        <v>45460</v>
      </c>
      <c r="R37" s="421"/>
      <c r="S37" s="419"/>
      <c r="T37" s="419"/>
      <c r="U37" s="946"/>
      <c r="V37" s="949"/>
      <c r="W37" s="952"/>
      <c r="X37" s="2">
        <v>20</v>
      </c>
    </row>
    <row r="38" spans="1:24" s="2" customFormat="1" x14ac:dyDescent="0.3">
      <c r="A38" s="943"/>
      <c r="B38" s="865"/>
      <c r="C38" s="865"/>
      <c r="D38" s="865"/>
      <c r="E38" s="865"/>
      <c r="F38" s="868"/>
      <c r="G38" s="871"/>
      <c r="H38" s="874"/>
      <c r="I38" s="877"/>
      <c r="J38" s="880"/>
      <c r="K38" s="883"/>
      <c r="L38" s="865"/>
      <c r="M38" s="865"/>
      <c r="N38" s="435">
        <v>45444</v>
      </c>
      <c r="O38" s="868"/>
      <c r="P38" s="419">
        <v>16624.34</v>
      </c>
      <c r="Q38" s="420">
        <v>45460</v>
      </c>
      <c r="R38" s="421"/>
      <c r="S38" s="419"/>
      <c r="T38" s="419"/>
      <c r="U38" s="946"/>
      <c r="V38" s="949"/>
      <c r="W38" s="952"/>
      <c r="X38" s="2">
        <v>20</v>
      </c>
    </row>
    <row r="39" spans="1:24" s="2" customFormat="1" x14ac:dyDescent="0.3">
      <c r="A39" s="943"/>
      <c r="B39" s="865"/>
      <c r="C39" s="865"/>
      <c r="D39" s="865"/>
      <c r="E39" s="865"/>
      <c r="F39" s="868"/>
      <c r="G39" s="871"/>
      <c r="H39" s="874"/>
      <c r="I39" s="877"/>
      <c r="J39" s="880"/>
      <c r="K39" s="883"/>
      <c r="L39" s="865"/>
      <c r="M39" s="865"/>
      <c r="N39" s="435">
        <v>45474</v>
      </c>
      <c r="O39" s="868"/>
      <c r="P39" s="419">
        <v>13218.91</v>
      </c>
      <c r="Q39" s="420">
        <v>45475</v>
      </c>
      <c r="R39" s="421"/>
      <c r="S39" s="419"/>
      <c r="T39" s="419"/>
      <c r="U39" s="946"/>
      <c r="V39" s="949"/>
      <c r="W39" s="952"/>
      <c r="X39" s="2">
        <v>20</v>
      </c>
    </row>
    <row r="40" spans="1:24" s="2" customFormat="1" x14ac:dyDescent="0.3">
      <c r="A40" s="943"/>
      <c r="B40" s="865"/>
      <c r="C40" s="865"/>
      <c r="D40" s="865"/>
      <c r="E40" s="865"/>
      <c r="F40" s="868"/>
      <c r="G40" s="871"/>
      <c r="H40" s="874"/>
      <c r="I40" s="877"/>
      <c r="J40" s="880"/>
      <c r="K40" s="883"/>
      <c r="L40" s="865"/>
      <c r="M40" s="865"/>
      <c r="N40" s="435">
        <v>45474</v>
      </c>
      <c r="O40" s="868"/>
      <c r="P40" s="419">
        <v>10769.41</v>
      </c>
      <c r="Q40" s="420">
        <v>45485</v>
      </c>
      <c r="R40" s="421"/>
      <c r="S40" s="419"/>
      <c r="T40" s="419"/>
      <c r="U40" s="946"/>
      <c r="V40" s="949"/>
      <c r="W40" s="952"/>
      <c r="X40" s="2">
        <v>20</v>
      </c>
    </row>
    <row r="41" spans="1:24" s="2" customFormat="1" x14ac:dyDescent="0.3">
      <c r="A41" s="943"/>
      <c r="B41" s="865"/>
      <c r="C41" s="865"/>
      <c r="D41" s="865"/>
      <c r="E41" s="865"/>
      <c r="F41" s="868"/>
      <c r="G41" s="871"/>
      <c r="H41" s="874"/>
      <c r="I41" s="877"/>
      <c r="J41" s="880"/>
      <c r="K41" s="883"/>
      <c r="L41" s="865"/>
      <c r="M41" s="865"/>
      <c r="N41" s="435">
        <v>45505</v>
      </c>
      <c r="O41" s="868"/>
      <c r="P41" s="419">
        <v>8077.06</v>
      </c>
      <c r="Q41" s="420">
        <v>45505</v>
      </c>
      <c r="R41" s="421"/>
      <c r="S41" s="419"/>
      <c r="T41" s="419"/>
      <c r="U41" s="946"/>
      <c r="V41" s="949"/>
      <c r="W41" s="952"/>
      <c r="X41" s="2">
        <v>20</v>
      </c>
    </row>
    <row r="42" spans="1:24" s="2" customFormat="1" x14ac:dyDescent="0.3">
      <c r="A42" s="943"/>
      <c r="B42" s="865"/>
      <c r="C42" s="865"/>
      <c r="D42" s="865"/>
      <c r="E42" s="865"/>
      <c r="F42" s="868"/>
      <c r="G42" s="871"/>
      <c r="H42" s="874"/>
      <c r="I42" s="877"/>
      <c r="J42" s="880"/>
      <c r="K42" s="883"/>
      <c r="L42" s="865"/>
      <c r="M42" s="865"/>
      <c r="N42" s="435">
        <v>45505</v>
      </c>
      <c r="O42" s="868"/>
      <c r="P42" s="419">
        <v>9067.67</v>
      </c>
      <c r="Q42" s="420">
        <v>45519</v>
      </c>
      <c r="R42" s="421"/>
      <c r="S42" s="419"/>
      <c r="T42" s="419"/>
      <c r="U42" s="946"/>
      <c r="V42" s="949"/>
      <c r="W42" s="952"/>
      <c r="X42" s="2">
        <v>20</v>
      </c>
    </row>
    <row r="43" spans="1:24" s="2" customFormat="1" x14ac:dyDescent="0.3">
      <c r="A43" s="943"/>
      <c r="B43" s="865"/>
      <c r="C43" s="865"/>
      <c r="D43" s="865"/>
      <c r="E43" s="865"/>
      <c r="F43" s="868"/>
      <c r="G43" s="871"/>
      <c r="H43" s="874"/>
      <c r="I43" s="877"/>
      <c r="J43" s="880"/>
      <c r="K43" s="883"/>
      <c r="L43" s="865"/>
      <c r="M43" s="865"/>
      <c r="N43" s="435">
        <v>45536</v>
      </c>
      <c r="O43" s="868"/>
      <c r="P43" s="419">
        <v>6793.37</v>
      </c>
      <c r="Q43" s="420">
        <v>45537</v>
      </c>
      <c r="R43" s="421"/>
      <c r="S43" s="419"/>
      <c r="T43" s="419"/>
      <c r="U43" s="946"/>
      <c r="V43" s="949"/>
      <c r="W43" s="952"/>
      <c r="X43" s="2">
        <v>20</v>
      </c>
    </row>
    <row r="44" spans="1:24" s="2" customFormat="1" x14ac:dyDescent="0.3">
      <c r="A44" s="943"/>
      <c r="B44" s="865"/>
      <c r="C44" s="865"/>
      <c r="D44" s="865"/>
      <c r="E44" s="865"/>
      <c r="F44" s="868"/>
      <c r="G44" s="871"/>
      <c r="H44" s="874"/>
      <c r="I44" s="877"/>
      <c r="J44" s="880"/>
      <c r="K44" s="883"/>
      <c r="L44" s="865"/>
      <c r="M44" s="865"/>
      <c r="N44" s="435">
        <v>45536</v>
      </c>
      <c r="O44" s="868"/>
      <c r="P44" s="419">
        <v>7139.33</v>
      </c>
      <c r="Q44" s="420">
        <v>45551</v>
      </c>
      <c r="R44" s="421"/>
      <c r="S44" s="419"/>
      <c r="T44" s="419"/>
      <c r="U44" s="946"/>
      <c r="V44" s="949"/>
      <c r="W44" s="952"/>
      <c r="X44" s="2">
        <v>20</v>
      </c>
    </row>
    <row r="45" spans="1:24" s="2" customFormat="1" x14ac:dyDescent="0.3">
      <c r="A45" s="943"/>
      <c r="B45" s="865"/>
      <c r="C45" s="865"/>
      <c r="D45" s="865"/>
      <c r="E45" s="865"/>
      <c r="F45" s="868"/>
      <c r="G45" s="871"/>
      <c r="H45" s="874"/>
      <c r="I45" s="877"/>
      <c r="J45" s="880"/>
      <c r="K45" s="883"/>
      <c r="L45" s="865"/>
      <c r="M45" s="865"/>
      <c r="N45" s="435">
        <v>45566</v>
      </c>
      <c r="O45" s="868"/>
      <c r="P45" s="419">
        <v>5354.5</v>
      </c>
      <c r="Q45" s="420">
        <v>45568</v>
      </c>
      <c r="R45" s="421"/>
      <c r="S45" s="419"/>
      <c r="T45" s="419"/>
      <c r="U45" s="946"/>
      <c r="V45" s="949"/>
      <c r="W45" s="952"/>
      <c r="X45" s="2">
        <v>20</v>
      </c>
    </row>
    <row r="46" spans="1:24" s="2" customFormat="1" x14ac:dyDescent="0.3">
      <c r="A46" s="943"/>
      <c r="B46" s="865"/>
      <c r="C46" s="865"/>
      <c r="D46" s="865"/>
      <c r="E46" s="865"/>
      <c r="F46" s="868"/>
      <c r="G46" s="871"/>
      <c r="H46" s="874"/>
      <c r="I46" s="877"/>
      <c r="J46" s="880"/>
      <c r="K46" s="883"/>
      <c r="L46" s="865"/>
      <c r="M46" s="865"/>
      <c r="N46" s="435">
        <v>45565</v>
      </c>
      <c r="O46" s="868"/>
      <c r="P46" s="419">
        <v>31230.31</v>
      </c>
      <c r="Q46" s="420">
        <v>45580</v>
      </c>
      <c r="R46" s="421"/>
      <c r="S46" s="419"/>
      <c r="T46" s="419"/>
      <c r="U46" s="946"/>
      <c r="V46" s="949"/>
      <c r="W46" s="952"/>
      <c r="X46" s="2">
        <v>20</v>
      </c>
    </row>
    <row r="47" spans="1:24" s="2" customFormat="1" x14ac:dyDescent="0.3">
      <c r="A47" s="943"/>
      <c r="B47" s="865"/>
      <c r="C47" s="865"/>
      <c r="D47" s="865"/>
      <c r="E47" s="865"/>
      <c r="F47" s="868"/>
      <c r="G47" s="871"/>
      <c r="H47" s="874"/>
      <c r="I47" s="877"/>
      <c r="J47" s="880"/>
      <c r="K47" s="883"/>
      <c r="L47" s="865"/>
      <c r="M47" s="865"/>
      <c r="N47" s="435">
        <v>45566</v>
      </c>
      <c r="O47" s="868"/>
      <c r="P47" s="419">
        <v>22777.66</v>
      </c>
      <c r="Q47" s="420">
        <v>45580</v>
      </c>
      <c r="R47" s="421"/>
      <c r="S47" s="419"/>
      <c r="T47" s="419"/>
      <c r="U47" s="946"/>
      <c r="V47" s="949"/>
      <c r="W47" s="952"/>
      <c r="X47" s="2">
        <v>20</v>
      </c>
    </row>
    <row r="48" spans="1:24" s="2" customFormat="1" x14ac:dyDescent="0.3">
      <c r="A48" s="943"/>
      <c r="B48" s="865"/>
      <c r="C48" s="865"/>
      <c r="D48" s="865"/>
      <c r="E48" s="865"/>
      <c r="F48" s="868"/>
      <c r="G48" s="871"/>
      <c r="H48" s="874"/>
      <c r="I48" s="877"/>
      <c r="J48" s="880"/>
      <c r="K48" s="883"/>
      <c r="L48" s="865"/>
      <c r="M48" s="865"/>
      <c r="N48" s="435">
        <v>45596</v>
      </c>
      <c r="O48" s="868"/>
      <c r="P48" s="419">
        <v>28644</v>
      </c>
      <c r="Q48" s="420">
        <v>45611</v>
      </c>
      <c r="R48" s="421"/>
      <c r="S48" s="419"/>
      <c r="T48" s="419"/>
      <c r="U48" s="946"/>
      <c r="V48" s="949"/>
      <c r="W48" s="952"/>
      <c r="X48" s="2">
        <v>20</v>
      </c>
    </row>
    <row r="49" spans="1:24" s="2" customFormat="1" x14ac:dyDescent="0.3">
      <c r="A49" s="944"/>
      <c r="B49" s="866"/>
      <c r="C49" s="866"/>
      <c r="D49" s="866"/>
      <c r="E49" s="866"/>
      <c r="F49" s="869"/>
      <c r="G49" s="872"/>
      <c r="H49" s="875"/>
      <c r="I49" s="878"/>
      <c r="J49" s="881"/>
      <c r="K49" s="884"/>
      <c r="L49" s="866"/>
      <c r="M49" s="866"/>
      <c r="N49" s="436"/>
      <c r="O49" s="869"/>
      <c r="P49" s="429"/>
      <c r="Q49" s="430"/>
      <c r="R49" s="431"/>
      <c r="S49" s="429"/>
      <c r="T49" s="429"/>
      <c r="U49" s="947"/>
      <c r="V49" s="950"/>
      <c r="W49" s="953"/>
      <c r="X49" s="2">
        <v>20</v>
      </c>
    </row>
    <row r="50" spans="1:24" s="107" customFormat="1" ht="72" customHeight="1" x14ac:dyDescent="0.3">
      <c r="A50" s="849">
        <v>4</v>
      </c>
      <c r="B50" s="752" t="s">
        <v>56</v>
      </c>
      <c r="C50" s="752" t="s">
        <v>146</v>
      </c>
      <c r="D50" s="752" t="s">
        <v>147</v>
      </c>
      <c r="E50" s="752" t="s">
        <v>173</v>
      </c>
      <c r="F50" s="755">
        <v>45289</v>
      </c>
      <c r="G50" s="758" t="s">
        <v>148</v>
      </c>
      <c r="H50" s="761">
        <v>46882.29</v>
      </c>
      <c r="I50" s="764">
        <f>IF(X50 = 21, H50 + SUM(S50:S61) - SUM(T50:T61) - SUM(P50:P61) - V50,0)</f>
        <v>7.2759576141834259E-12</v>
      </c>
      <c r="J50" s="767">
        <v>2308131994</v>
      </c>
      <c r="K50" s="770" t="s">
        <v>162</v>
      </c>
      <c r="L50" s="752" t="s">
        <v>146</v>
      </c>
      <c r="M50" s="752"/>
      <c r="N50" s="456">
        <v>45322</v>
      </c>
      <c r="O50" s="755" t="s">
        <v>170</v>
      </c>
      <c r="P50" s="447">
        <v>3771.37</v>
      </c>
      <c r="Q50" s="448">
        <v>45324</v>
      </c>
      <c r="R50" s="449"/>
      <c r="S50" s="447"/>
      <c r="T50" s="447"/>
      <c r="U50" s="852"/>
      <c r="V50" s="855"/>
      <c r="W50" s="749"/>
      <c r="X50" s="107">
        <v>21</v>
      </c>
    </row>
    <row r="51" spans="1:24" s="2" customFormat="1" x14ac:dyDescent="0.3">
      <c r="A51" s="850"/>
      <c r="B51" s="753"/>
      <c r="C51" s="753"/>
      <c r="D51" s="753"/>
      <c r="E51" s="753"/>
      <c r="F51" s="756"/>
      <c r="G51" s="759"/>
      <c r="H51" s="762"/>
      <c r="I51" s="765"/>
      <c r="J51" s="768"/>
      <c r="K51" s="771"/>
      <c r="L51" s="753"/>
      <c r="M51" s="753"/>
      <c r="N51" s="457">
        <v>45351</v>
      </c>
      <c r="O51" s="756"/>
      <c r="P51" s="450">
        <v>3771.37</v>
      </c>
      <c r="Q51" s="451">
        <v>45357</v>
      </c>
      <c r="R51" s="452"/>
      <c r="S51" s="450"/>
      <c r="T51" s="450"/>
      <c r="U51" s="853"/>
      <c r="V51" s="856"/>
      <c r="W51" s="750"/>
      <c r="X51" s="2">
        <v>21</v>
      </c>
    </row>
    <row r="52" spans="1:24" s="2" customFormat="1" x14ac:dyDescent="0.3">
      <c r="A52" s="850"/>
      <c r="B52" s="753"/>
      <c r="C52" s="753"/>
      <c r="D52" s="753"/>
      <c r="E52" s="753"/>
      <c r="F52" s="756"/>
      <c r="G52" s="759"/>
      <c r="H52" s="762"/>
      <c r="I52" s="765"/>
      <c r="J52" s="768"/>
      <c r="K52" s="771"/>
      <c r="L52" s="753"/>
      <c r="M52" s="753"/>
      <c r="N52" s="457">
        <v>45382</v>
      </c>
      <c r="O52" s="756"/>
      <c r="P52" s="450">
        <v>3771.37</v>
      </c>
      <c r="Q52" s="451">
        <v>45383</v>
      </c>
      <c r="R52" s="452"/>
      <c r="S52" s="450"/>
      <c r="T52" s="450"/>
      <c r="U52" s="853"/>
      <c r="V52" s="856"/>
      <c r="W52" s="750"/>
      <c r="X52" s="2">
        <v>21</v>
      </c>
    </row>
    <row r="53" spans="1:24" s="2" customFormat="1" x14ac:dyDescent="0.3">
      <c r="A53" s="850"/>
      <c r="B53" s="753"/>
      <c r="C53" s="753"/>
      <c r="D53" s="753"/>
      <c r="E53" s="753"/>
      <c r="F53" s="756"/>
      <c r="G53" s="759"/>
      <c r="H53" s="762"/>
      <c r="I53" s="765"/>
      <c r="J53" s="768"/>
      <c r="K53" s="771"/>
      <c r="L53" s="753"/>
      <c r="M53" s="753"/>
      <c r="N53" s="457">
        <v>45412</v>
      </c>
      <c r="O53" s="756"/>
      <c r="P53" s="450">
        <v>3771.37</v>
      </c>
      <c r="Q53" s="451">
        <v>45419</v>
      </c>
      <c r="R53" s="452"/>
      <c r="S53" s="450"/>
      <c r="T53" s="450"/>
      <c r="U53" s="853"/>
      <c r="V53" s="856"/>
      <c r="W53" s="750"/>
      <c r="X53" s="2">
        <v>21</v>
      </c>
    </row>
    <row r="54" spans="1:24" s="2" customFormat="1" x14ac:dyDescent="0.3">
      <c r="A54" s="850"/>
      <c r="B54" s="753"/>
      <c r="C54" s="753"/>
      <c r="D54" s="753"/>
      <c r="E54" s="753"/>
      <c r="F54" s="756"/>
      <c r="G54" s="759"/>
      <c r="H54" s="762"/>
      <c r="I54" s="765"/>
      <c r="J54" s="768"/>
      <c r="K54" s="771"/>
      <c r="L54" s="753"/>
      <c r="M54" s="753"/>
      <c r="N54" s="457">
        <v>45415</v>
      </c>
      <c r="O54" s="756"/>
      <c r="P54" s="450">
        <v>3771.37</v>
      </c>
      <c r="Q54" s="451">
        <v>45448</v>
      </c>
      <c r="R54" s="452"/>
      <c r="S54" s="450"/>
      <c r="T54" s="450"/>
      <c r="U54" s="853"/>
      <c r="V54" s="856"/>
      <c r="W54" s="750"/>
      <c r="X54" s="2">
        <v>21</v>
      </c>
    </row>
    <row r="55" spans="1:24" s="2" customFormat="1" x14ac:dyDescent="0.3">
      <c r="A55" s="850"/>
      <c r="B55" s="753"/>
      <c r="C55" s="753"/>
      <c r="D55" s="753"/>
      <c r="E55" s="753"/>
      <c r="F55" s="756"/>
      <c r="G55" s="759"/>
      <c r="H55" s="762"/>
      <c r="I55" s="765"/>
      <c r="J55" s="768"/>
      <c r="K55" s="771"/>
      <c r="L55" s="753"/>
      <c r="M55" s="753"/>
      <c r="N55" s="457">
        <v>45473</v>
      </c>
      <c r="O55" s="756"/>
      <c r="P55" s="450">
        <v>3771.37</v>
      </c>
      <c r="Q55" s="451">
        <v>45476</v>
      </c>
      <c r="R55" s="452"/>
      <c r="S55" s="450"/>
      <c r="T55" s="450"/>
      <c r="U55" s="853"/>
      <c r="V55" s="856"/>
      <c r="W55" s="750"/>
      <c r="X55" s="2">
        <v>21</v>
      </c>
    </row>
    <row r="56" spans="1:24" s="2" customFormat="1" x14ac:dyDescent="0.3">
      <c r="A56" s="850"/>
      <c r="B56" s="753"/>
      <c r="C56" s="753"/>
      <c r="D56" s="753"/>
      <c r="E56" s="753"/>
      <c r="F56" s="756"/>
      <c r="G56" s="759"/>
      <c r="H56" s="762"/>
      <c r="I56" s="765"/>
      <c r="J56" s="768"/>
      <c r="K56" s="771"/>
      <c r="L56" s="753"/>
      <c r="M56" s="753"/>
      <c r="N56" s="457">
        <v>45504</v>
      </c>
      <c r="O56" s="756"/>
      <c r="P56" s="450">
        <v>4042.35</v>
      </c>
      <c r="Q56" s="451">
        <v>45512</v>
      </c>
      <c r="R56" s="452"/>
      <c r="S56" s="450"/>
      <c r="T56" s="450"/>
      <c r="U56" s="853"/>
      <c r="V56" s="856"/>
      <c r="W56" s="750"/>
      <c r="X56" s="2">
        <v>21</v>
      </c>
    </row>
    <row r="57" spans="1:24" s="2" customFormat="1" x14ac:dyDescent="0.3">
      <c r="A57" s="850"/>
      <c r="B57" s="753"/>
      <c r="C57" s="753"/>
      <c r="D57" s="753"/>
      <c r="E57" s="753"/>
      <c r="F57" s="756"/>
      <c r="G57" s="759"/>
      <c r="H57" s="762"/>
      <c r="I57" s="765"/>
      <c r="J57" s="768"/>
      <c r="K57" s="771"/>
      <c r="L57" s="753"/>
      <c r="M57" s="753"/>
      <c r="N57" s="457">
        <v>45535</v>
      </c>
      <c r="O57" s="756"/>
      <c r="P57" s="450">
        <v>4042.35</v>
      </c>
      <c r="Q57" s="451">
        <v>45540</v>
      </c>
      <c r="R57" s="452"/>
      <c r="S57" s="450"/>
      <c r="T57" s="450"/>
      <c r="U57" s="853"/>
      <c r="V57" s="856"/>
      <c r="W57" s="750"/>
      <c r="X57" s="2">
        <v>21</v>
      </c>
    </row>
    <row r="58" spans="1:24" s="2" customFormat="1" x14ac:dyDescent="0.3">
      <c r="A58" s="850"/>
      <c r="B58" s="753"/>
      <c r="C58" s="753"/>
      <c r="D58" s="753"/>
      <c r="E58" s="753"/>
      <c r="F58" s="756"/>
      <c r="G58" s="759"/>
      <c r="H58" s="762"/>
      <c r="I58" s="765"/>
      <c r="J58" s="768"/>
      <c r="K58" s="771"/>
      <c r="L58" s="753"/>
      <c r="M58" s="753"/>
      <c r="N58" s="457">
        <v>45565</v>
      </c>
      <c r="O58" s="756"/>
      <c r="P58" s="450">
        <v>4042.35</v>
      </c>
      <c r="Q58" s="451">
        <v>45569</v>
      </c>
      <c r="R58" s="452"/>
      <c r="S58" s="450"/>
      <c r="T58" s="450"/>
      <c r="U58" s="853"/>
      <c r="V58" s="856"/>
      <c r="W58" s="750"/>
      <c r="X58" s="2">
        <v>21</v>
      </c>
    </row>
    <row r="59" spans="1:24" s="2" customFormat="1" x14ac:dyDescent="0.3">
      <c r="A59" s="850"/>
      <c r="B59" s="753"/>
      <c r="C59" s="753"/>
      <c r="D59" s="753"/>
      <c r="E59" s="753"/>
      <c r="F59" s="756"/>
      <c r="G59" s="759"/>
      <c r="H59" s="762"/>
      <c r="I59" s="765"/>
      <c r="J59" s="768"/>
      <c r="K59" s="771"/>
      <c r="L59" s="753"/>
      <c r="M59" s="753"/>
      <c r="N59" s="457">
        <v>45596</v>
      </c>
      <c r="O59" s="756"/>
      <c r="P59" s="450">
        <v>4042.35</v>
      </c>
      <c r="Q59" s="451">
        <v>45597</v>
      </c>
      <c r="R59" s="452"/>
      <c r="S59" s="450"/>
      <c r="T59" s="450"/>
      <c r="U59" s="853"/>
      <c r="V59" s="856"/>
      <c r="W59" s="750"/>
      <c r="X59" s="2">
        <v>21</v>
      </c>
    </row>
    <row r="60" spans="1:24" s="2" customFormat="1" x14ac:dyDescent="0.3">
      <c r="A60" s="850"/>
      <c r="B60" s="753"/>
      <c r="C60" s="753"/>
      <c r="D60" s="753"/>
      <c r="E60" s="753"/>
      <c r="F60" s="756"/>
      <c r="G60" s="759"/>
      <c r="H60" s="762"/>
      <c r="I60" s="765"/>
      <c r="J60" s="768"/>
      <c r="K60" s="771"/>
      <c r="L60" s="753"/>
      <c r="M60" s="753"/>
      <c r="N60" s="457">
        <v>45626</v>
      </c>
      <c r="O60" s="756"/>
      <c r="P60" s="450">
        <v>4042.35</v>
      </c>
      <c r="Q60" s="451">
        <v>45632</v>
      </c>
      <c r="R60" s="452"/>
      <c r="S60" s="450"/>
      <c r="T60" s="450"/>
      <c r="U60" s="853"/>
      <c r="V60" s="856"/>
      <c r="W60" s="750"/>
      <c r="X60" s="2">
        <v>21</v>
      </c>
    </row>
    <row r="61" spans="1:24" s="2" customFormat="1" x14ac:dyDescent="0.3">
      <c r="A61" s="851"/>
      <c r="B61" s="754"/>
      <c r="C61" s="754"/>
      <c r="D61" s="754"/>
      <c r="E61" s="754"/>
      <c r="F61" s="757"/>
      <c r="G61" s="760"/>
      <c r="H61" s="763"/>
      <c r="I61" s="766"/>
      <c r="J61" s="769"/>
      <c r="K61" s="772"/>
      <c r="L61" s="754"/>
      <c r="M61" s="754"/>
      <c r="N61" s="458">
        <v>45645</v>
      </c>
      <c r="O61" s="757"/>
      <c r="P61" s="453">
        <v>4042.32</v>
      </c>
      <c r="Q61" s="454">
        <v>45646</v>
      </c>
      <c r="R61" s="455"/>
      <c r="S61" s="453"/>
      <c r="T61" s="453"/>
      <c r="U61" s="854"/>
      <c r="V61" s="857"/>
      <c r="W61" s="751"/>
      <c r="X61" s="2">
        <v>21</v>
      </c>
    </row>
    <row r="62" spans="1:24" s="107" customFormat="1" ht="187.5" customHeight="1" x14ac:dyDescent="0.3">
      <c r="A62" s="702">
        <v>5</v>
      </c>
      <c r="B62" s="662" t="s">
        <v>56</v>
      </c>
      <c r="C62" s="662" t="s">
        <v>146</v>
      </c>
      <c r="D62" s="662" t="s">
        <v>147</v>
      </c>
      <c r="E62" s="662" t="s">
        <v>36</v>
      </c>
      <c r="F62" s="656">
        <v>45289</v>
      </c>
      <c r="G62" s="967" t="s">
        <v>197</v>
      </c>
      <c r="H62" s="726">
        <v>17500</v>
      </c>
      <c r="I62" s="728">
        <f>IF(X62 = 22, H62 + SUM(S62:S68) - SUM(T62:T68) - SUM(P62:P68) - V62,0)</f>
        <v>0</v>
      </c>
      <c r="J62" s="889">
        <v>235301271520</v>
      </c>
      <c r="K62" s="892" t="s">
        <v>158</v>
      </c>
      <c r="L62" s="662" t="s">
        <v>146</v>
      </c>
      <c r="M62" s="662"/>
      <c r="N62" s="522">
        <v>45315</v>
      </c>
      <c r="O62" s="656" t="s">
        <v>194</v>
      </c>
      <c r="P62" s="513">
        <v>2500</v>
      </c>
      <c r="Q62" s="514">
        <v>45316</v>
      </c>
      <c r="R62" s="515"/>
      <c r="S62" s="513"/>
      <c r="T62" s="513"/>
      <c r="U62" s="659"/>
      <c r="V62" s="939"/>
      <c r="W62" s="668"/>
      <c r="X62" s="107">
        <v>22</v>
      </c>
    </row>
    <row r="63" spans="1:24" s="2" customFormat="1" x14ac:dyDescent="0.3">
      <c r="A63" s="703"/>
      <c r="B63" s="663"/>
      <c r="C63" s="663"/>
      <c r="D63" s="663"/>
      <c r="E63" s="663"/>
      <c r="F63" s="657"/>
      <c r="G63" s="968"/>
      <c r="H63" s="735"/>
      <c r="I63" s="736"/>
      <c r="J63" s="890"/>
      <c r="K63" s="893"/>
      <c r="L63" s="663"/>
      <c r="M63" s="663"/>
      <c r="N63" s="523">
        <v>45349</v>
      </c>
      <c r="O63" s="657"/>
      <c r="P63" s="516">
        <v>2500</v>
      </c>
      <c r="Q63" s="517">
        <v>45349</v>
      </c>
      <c r="R63" s="518"/>
      <c r="S63" s="516"/>
      <c r="T63" s="516"/>
      <c r="U63" s="660"/>
      <c r="V63" s="940"/>
      <c r="W63" s="669"/>
      <c r="X63" s="2">
        <v>22</v>
      </c>
    </row>
    <row r="64" spans="1:24" s="2" customFormat="1" x14ac:dyDescent="0.3">
      <c r="A64" s="703"/>
      <c r="B64" s="663"/>
      <c r="C64" s="663"/>
      <c r="D64" s="663"/>
      <c r="E64" s="663"/>
      <c r="F64" s="657"/>
      <c r="G64" s="968"/>
      <c r="H64" s="735"/>
      <c r="I64" s="736"/>
      <c r="J64" s="890"/>
      <c r="K64" s="893"/>
      <c r="L64" s="663"/>
      <c r="M64" s="663"/>
      <c r="N64" s="523">
        <v>45376</v>
      </c>
      <c r="O64" s="657"/>
      <c r="P64" s="516">
        <v>2500</v>
      </c>
      <c r="Q64" s="517">
        <v>45379</v>
      </c>
      <c r="R64" s="518"/>
      <c r="S64" s="516"/>
      <c r="T64" s="516"/>
      <c r="U64" s="660"/>
      <c r="V64" s="940"/>
      <c r="W64" s="669"/>
      <c r="X64" s="2">
        <v>22</v>
      </c>
    </row>
    <row r="65" spans="1:24" s="2" customFormat="1" x14ac:dyDescent="0.3">
      <c r="A65" s="703"/>
      <c r="B65" s="663"/>
      <c r="C65" s="663"/>
      <c r="D65" s="663"/>
      <c r="E65" s="663"/>
      <c r="F65" s="657"/>
      <c r="G65" s="968"/>
      <c r="H65" s="735"/>
      <c r="I65" s="736"/>
      <c r="J65" s="890"/>
      <c r="K65" s="893"/>
      <c r="L65" s="663"/>
      <c r="M65" s="663"/>
      <c r="N65" s="523">
        <v>45407</v>
      </c>
      <c r="O65" s="657"/>
      <c r="P65" s="516">
        <v>2500</v>
      </c>
      <c r="Q65" s="517">
        <v>45419</v>
      </c>
      <c r="R65" s="518"/>
      <c r="S65" s="516"/>
      <c r="T65" s="516"/>
      <c r="U65" s="660"/>
      <c r="V65" s="940"/>
      <c r="W65" s="669"/>
      <c r="X65" s="2">
        <v>22</v>
      </c>
    </row>
    <row r="66" spans="1:24" s="2" customFormat="1" x14ac:dyDescent="0.3">
      <c r="A66" s="703"/>
      <c r="B66" s="663"/>
      <c r="C66" s="663"/>
      <c r="D66" s="663"/>
      <c r="E66" s="663"/>
      <c r="F66" s="657"/>
      <c r="G66" s="968"/>
      <c r="H66" s="735"/>
      <c r="I66" s="736"/>
      <c r="J66" s="890"/>
      <c r="K66" s="893"/>
      <c r="L66" s="663"/>
      <c r="M66" s="663"/>
      <c r="N66" s="523">
        <v>45593</v>
      </c>
      <c r="O66" s="657"/>
      <c r="P66" s="516">
        <v>2500</v>
      </c>
      <c r="Q66" s="517">
        <v>45597</v>
      </c>
      <c r="R66" s="518"/>
      <c r="S66" s="516"/>
      <c r="T66" s="516"/>
      <c r="U66" s="660"/>
      <c r="V66" s="940"/>
      <c r="W66" s="669"/>
      <c r="X66" s="2">
        <v>22</v>
      </c>
    </row>
    <row r="67" spans="1:24" s="2" customFormat="1" x14ac:dyDescent="0.3">
      <c r="A67" s="703"/>
      <c r="B67" s="663"/>
      <c r="C67" s="663"/>
      <c r="D67" s="663"/>
      <c r="E67" s="663"/>
      <c r="F67" s="657"/>
      <c r="G67" s="968"/>
      <c r="H67" s="735"/>
      <c r="I67" s="736"/>
      <c r="J67" s="890"/>
      <c r="K67" s="893"/>
      <c r="L67" s="663"/>
      <c r="M67" s="663"/>
      <c r="N67" s="523">
        <v>45622</v>
      </c>
      <c r="O67" s="657"/>
      <c r="P67" s="516">
        <v>2500</v>
      </c>
      <c r="Q67" s="517">
        <v>45623</v>
      </c>
      <c r="R67" s="518"/>
      <c r="S67" s="516"/>
      <c r="T67" s="516"/>
      <c r="U67" s="660"/>
      <c r="V67" s="940"/>
      <c r="W67" s="669"/>
      <c r="X67" s="2">
        <v>22</v>
      </c>
    </row>
    <row r="68" spans="1:24" s="2" customFormat="1" x14ac:dyDescent="0.3">
      <c r="A68" s="704"/>
      <c r="B68" s="664"/>
      <c r="C68" s="664"/>
      <c r="D68" s="664"/>
      <c r="E68" s="664"/>
      <c r="F68" s="658"/>
      <c r="G68" s="969"/>
      <c r="H68" s="727"/>
      <c r="I68" s="729"/>
      <c r="J68" s="891"/>
      <c r="K68" s="894"/>
      <c r="L68" s="664"/>
      <c r="M68" s="664"/>
      <c r="N68" s="524">
        <v>45644</v>
      </c>
      <c r="O68" s="658"/>
      <c r="P68" s="519">
        <v>2500</v>
      </c>
      <c r="Q68" s="520">
        <v>45645</v>
      </c>
      <c r="R68" s="521"/>
      <c r="S68" s="519"/>
      <c r="T68" s="519"/>
      <c r="U68" s="661"/>
      <c r="V68" s="941"/>
      <c r="W68" s="670"/>
      <c r="X68" s="2">
        <v>22</v>
      </c>
    </row>
    <row r="69" spans="1:24" s="107" customFormat="1" ht="187.5" customHeight="1" x14ac:dyDescent="0.3">
      <c r="A69" s="702">
        <v>6</v>
      </c>
      <c r="B69" s="662" t="s">
        <v>56</v>
      </c>
      <c r="C69" s="662" t="s">
        <v>146</v>
      </c>
      <c r="D69" s="662" t="s">
        <v>147</v>
      </c>
      <c r="E69" s="662" t="s">
        <v>111</v>
      </c>
      <c r="F69" s="656">
        <v>45289</v>
      </c>
      <c r="G69" s="967" t="s">
        <v>198</v>
      </c>
      <c r="H69" s="726">
        <v>26400</v>
      </c>
      <c r="I69" s="728">
        <f>IF(X69 = 23, H69 + SUM(S69:S80) - SUM(T69:T80) - SUM(P69:P80) - V69,0)</f>
        <v>0</v>
      </c>
      <c r="J69" s="889">
        <v>231107998282</v>
      </c>
      <c r="K69" s="892" t="s">
        <v>199</v>
      </c>
      <c r="L69" s="662" t="s">
        <v>146</v>
      </c>
      <c r="M69" s="662"/>
      <c r="N69" s="522">
        <v>45315</v>
      </c>
      <c r="O69" s="656" t="s">
        <v>194</v>
      </c>
      <c r="P69" s="513">
        <v>2200</v>
      </c>
      <c r="Q69" s="514">
        <v>45324</v>
      </c>
      <c r="R69" s="515"/>
      <c r="S69" s="513"/>
      <c r="T69" s="513"/>
      <c r="U69" s="659"/>
      <c r="V69" s="939"/>
      <c r="W69" s="668"/>
      <c r="X69" s="107">
        <v>23</v>
      </c>
    </row>
    <row r="70" spans="1:24" s="2" customFormat="1" x14ac:dyDescent="0.3">
      <c r="A70" s="703"/>
      <c r="B70" s="663"/>
      <c r="C70" s="663"/>
      <c r="D70" s="663"/>
      <c r="E70" s="663"/>
      <c r="F70" s="657"/>
      <c r="G70" s="968"/>
      <c r="H70" s="735"/>
      <c r="I70" s="736"/>
      <c r="J70" s="890"/>
      <c r="K70" s="893"/>
      <c r="L70" s="663"/>
      <c r="M70" s="663"/>
      <c r="N70" s="523">
        <v>45351</v>
      </c>
      <c r="O70" s="657"/>
      <c r="P70" s="516">
        <v>2200</v>
      </c>
      <c r="Q70" s="517">
        <v>45351</v>
      </c>
      <c r="R70" s="518"/>
      <c r="S70" s="516"/>
      <c r="T70" s="516"/>
      <c r="U70" s="660"/>
      <c r="V70" s="940"/>
      <c r="W70" s="669"/>
      <c r="X70" s="2">
        <v>23</v>
      </c>
    </row>
    <row r="71" spans="1:24" s="2" customFormat="1" x14ac:dyDescent="0.3">
      <c r="A71" s="703"/>
      <c r="B71" s="663"/>
      <c r="C71" s="663"/>
      <c r="D71" s="663"/>
      <c r="E71" s="663"/>
      <c r="F71" s="657"/>
      <c r="G71" s="968"/>
      <c r="H71" s="735"/>
      <c r="I71" s="736"/>
      <c r="J71" s="890"/>
      <c r="K71" s="893"/>
      <c r="L71" s="663"/>
      <c r="M71" s="663"/>
      <c r="N71" s="523">
        <v>45382</v>
      </c>
      <c r="O71" s="657"/>
      <c r="P71" s="516">
        <v>2200</v>
      </c>
      <c r="Q71" s="517">
        <v>45383</v>
      </c>
      <c r="R71" s="518"/>
      <c r="S71" s="516"/>
      <c r="T71" s="516"/>
      <c r="U71" s="660"/>
      <c r="V71" s="940"/>
      <c r="W71" s="669"/>
      <c r="X71" s="2">
        <v>23</v>
      </c>
    </row>
    <row r="72" spans="1:24" s="2" customFormat="1" x14ac:dyDescent="0.3">
      <c r="A72" s="703"/>
      <c r="B72" s="663"/>
      <c r="C72" s="663"/>
      <c r="D72" s="663"/>
      <c r="E72" s="663"/>
      <c r="F72" s="657"/>
      <c r="G72" s="968"/>
      <c r="H72" s="735"/>
      <c r="I72" s="736"/>
      <c r="J72" s="890"/>
      <c r="K72" s="893"/>
      <c r="L72" s="663"/>
      <c r="M72" s="663"/>
      <c r="N72" s="523">
        <v>45409</v>
      </c>
      <c r="O72" s="657"/>
      <c r="P72" s="516">
        <v>2200</v>
      </c>
      <c r="Q72" s="517">
        <v>45419</v>
      </c>
      <c r="R72" s="518"/>
      <c r="S72" s="516"/>
      <c r="T72" s="516"/>
      <c r="U72" s="660"/>
      <c r="V72" s="940"/>
      <c r="W72" s="669"/>
      <c r="X72" s="2">
        <v>23</v>
      </c>
    </row>
    <row r="73" spans="1:24" s="2" customFormat="1" x14ac:dyDescent="0.3">
      <c r="A73" s="703"/>
      <c r="B73" s="663"/>
      <c r="C73" s="663"/>
      <c r="D73" s="663"/>
      <c r="E73" s="663"/>
      <c r="F73" s="657"/>
      <c r="G73" s="968"/>
      <c r="H73" s="735"/>
      <c r="I73" s="736"/>
      <c r="J73" s="890"/>
      <c r="K73" s="893"/>
      <c r="L73" s="663"/>
      <c r="M73" s="663"/>
      <c r="N73" s="523">
        <v>45443</v>
      </c>
      <c r="O73" s="657"/>
      <c r="P73" s="516">
        <v>2200</v>
      </c>
      <c r="Q73" s="517">
        <v>45448</v>
      </c>
      <c r="R73" s="518"/>
      <c r="S73" s="516"/>
      <c r="T73" s="516"/>
      <c r="U73" s="660"/>
      <c r="V73" s="940"/>
      <c r="W73" s="669"/>
      <c r="X73" s="2">
        <v>23</v>
      </c>
    </row>
    <row r="74" spans="1:24" s="2" customFormat="1" x14ac:dyDescent="0.3">
      <c r="A74" s="703"/>
      <c r="B74" s="663"/>
      <c r="C74" s="663"/>
      <c r="D74" s="663"/>
      <c r="E74" s="663"/>
      <c r="F74" s="657"/>
      <c r="G74" s="968"/>
      <c r="H74" s="735"/>
      <c r="I74" s="736"/>
      <c r="J74" s="890"/>
      <c r="K74" s="893"/>
      <c r="L74" s="663"/>
      <c r="M74" s="663"/>
      <c r="N74" s="523">
        <v>45473</v>
      </c>
      <c r="O74" s="657"/>
      <c r="P74" s="516">
        <v>2200</v>
      </c>
      <c r="Q74" s="517">
        <v>45475</v>
      </c>
      <c r="R74" s="518"/>
      <c r="S74" s="516"/>
      <c r="T74" s="516"/>
      <c r="U74" s="660"/>
      <c r="V74" s="940"/>
      <c r="W74" s="669"/>
      <c r="X74" s="2">
        <v>23</v>
      </c>
    </row>
    <row r="75" spans="1:24" s="2" customFormat="1" x14ac:dyDescent="0.3">
      <c r="A75" s="703"/>
      <c r="B75" s="663"/>
      <c r="C75" s="663"/>
      <c r="D75" s="663"/>
      <c r="E75" s="663"/>
      <c r="F75" s="657"/>
      <c r="G75" s="968"/>
      <c r="H75" s="735"/>
      <c r="I75" s="736"/>
      <c r="J75" s="890"/>
      <c r="K75" s="893"/>
      <c r="L75" s="663"/>
      <c r="M75" s="663"/>
      <c r="N75" s="523">
        <v>45504</v>
      </c>
      <c r="O75" s="657"/>
      <c r="P75" s="516">
        <v>2200</v>
      </c>
      <c r="Q75" s="517">
        <v>45504</v>
      </c>
      <c r="R75" s="518"/>
      <c r="S75" s="516"/>
      <c r="T75" s="516"/>
      <c r="U75" s="660"/>
      <c r="V75" s="940"/>
      <c r="W75" s="669"/>
      <c r="X75" s="2">
        <v>23</v>
      </c>
    </row>
    <row r="76" spans="1:24" s="2" customFormat="1" x14ac:dyDescent="0.3">
      <c r="A76" s="703"/>
      <c r="B76" s="663"/>
      <c r="C76" s="663"/>
      <c r="D76" s="663"/>
      <c r="E76" s="663"/>
      <c r="F76" s="657"/>
      <c r="G76" s="968"/>
      <c r="H76" s="735"/>
      <c r="I76" s="736"/>
      <c r="J76" s="890"/>
      <c r="K76" s="893"/>
      <c r="L76" s="663"/>
      <c r="M76" s="663"/>
      <c r="N76" s="523">
        <v>45535</v>
      </c>
      <c r="O76" s="657"/>
      <c r="P76" s="516">
        <v>2200</v>
      </c>
      <c r="Q76" s="517">
        <v>45537</v>
      </c>
      <c r="R76" s="518"/>
      <c r="S76" s="516"/>
      <c r="T76" s="516"/>
      <c r="U76" s="660"/>
      <c r="V76" s="940"/>
      <c r="W76" s="669"/>
      <c r="X76" s="2">
        <v>23</v>
      </c>
    </row>
    <row r="77" spans="1:24" s="2" customFormat="1" x14ac:dyDescent="0.3">
      <c r="A77" s="703"/>
      <c r="B77" s="663"/>
      <c r="C77" s="663"/>
      <c r="D77" s="663"/>
      <c r="E77" s="663"/>
      <c r="F77" s="657"/>
      <c r="G77" s="968"/>
      <c r="H77" s="735"/>
      <c r="I77" s="736"/>
      <c r="J77" s="890"/>
      <c r="K77" s="893"/>
      <c r="L77" s="663"/>
      <c r="M77" s="663"/>
      <c r="N77" s="523">
        <v>45565</v>
      </c>
      <c r="O77" s="657"/>
      <c r="P77" s="516">
        <v>2200</v>
      </c>
      <c r="Q77" s="517">
        <v>45569</v>
      </c>
      <c r="R77" s="518"/>
      <c r="S77" s="516"/>
      <c r="T77" s="516"/>
      <c r="U77" s="660"/>
      <c r="V77" s="940"/>
      <c r="W77" s="669"/>
      <c r="X77" s="2">
        <v>23</v>
      </c>
    </row>
    <row r="78" spans="1:24" s="2" customFormat="1" x14ac:dyDescent="0.3">
      <c r="A78" s="703"/>
      <c r="B78" s="663"/>
      <c r="C78" s="663"/>
      <c r="D78" s="663"/>
      <c r="E78" s="663"/>
      <c r="F78" s="657"/>
      <c r="G78" s="968"/>
      <c r="H78" s="735"/>
      <c r="I78" s="736"/>
      <c r="J78" s="890"/>
      <c r="K78" s="893"/>
      <c r="L78" s="663"/>
      <c r="M78" s="663"/>
      <c r="N78" s="523">
        <v>45596</v>
      </c>
      <c r="O78" s="657"/>
      <c r="P78" s="516">
        <v>2200</v>
      </c>
      <c r="Q78" s="517">
        <v>45632</v>
      </c>
      <c r="R78" s="518"/>
      <c r="S78" s="516"/>
      <c r="T78" s="516"/>
      <c r="U78" s="660"/>
      <c r="V78" s="940"/>
      <c r="W78" s="669"/>
      <c r="X78" s="2">
        <v>23</v>
      </c>
    </row>
    <row r="79" spans="1:24" s="2" customFormat="1" x14ac:dyDescent="0.3">
      <c r="A79" s="703"/>
      <c r="B79" s="663"/>
      <c r="C79" s="663"/>
      <c r="D79" s="663"/>
      <c r="E79" s="663"/>
      <c r="F79" s="657"/>
      <c r="G79" s="968"/>
      <c r="H79" s="735"/>
      <c r="I79" s="736"/>
      <c r="J79" s="890"/>
      <c r="K79" s="893"/>
      <c r="L79" s="663"/>
      <c r="M79" s="663"/>
      <c r="N79" s="523">
        <v>45626</v>
      </c>
      <c r="O79" s="657"/>
      <c r="P79" s="516">
        <v>2200</v>
      </c>
      <c r="Q79" s="517">
        <v>45632</v>
      </c>
      <c r="R79" s="518"/>
      <c r="S79" s="516"/>
      <c r="T79" s="516"/>
      <c r="U79" s="660"/>
      <c r="V79" s="940"/>
      <c r="W79" s="669"/>
      <c r="X79" s="2">
        <v>23</v>
      </c>
    </row>
    <row r="80" spans="1:24" s="2" customFormat="1" x14ac:dyDescent="0.3">
      <c r="A80" s="704"/>
      <c r="B80" s="664"/>
      <c r="C80" s="664"/>
      <c r="D80" s="664"/>
      <c r="E80" s="664"/>
      <c r="F80" s="658"/>
      <c r="G80" s="969"/>
      <c r="H80" s="727"/>
      <c r="I80" s="729"/>
      <c r="J80" s="891"/>
      <c r="K80" s="894"/>
      <c r="L80" s="664"/>
      <c r="M80" s="664"/>
      <c r="N80" s="524">
        <v>45643</v>
      </c>
      <c r="O80" s="658"/>
      <c r="P80" s="519">
        <v>2200</v>
      </c>
      <c r="Q80" s="520">
        <v>45643</v>
      </c>
      <c r="R80" s="521"/>
      <c r="S80" s="519"/>
      <c r="T80" s="519"/>
      <c r="U80" s="661"/>
      <c r="V80" s="941"/>
      <c r="W80" s="670"/>
      <c r="X80" s="2">
        <v>23</v>
      </c>
    </row>
    <row r="81" spans="1:24" s="107" customFormat="1" ht="108" customHeight="1" x14ac:dyDescent="0.3">
      <c r="A81" s="378">
        <v>7</v>
      </c>
      <c r="B81" s="379" t="s">
        <v>56</v>
      </c>
      <c r="C81" s="379" t="s">
        <v>146</v>
      </c>
      <c r="D81" s="379" t="s">
        <v>177</v>
      </c>
      <c r="E81" s="379" t="s">
        <v>195</v>
      </c>
      <c r="F81" s="381">
        <v>45289</v>
      </c>
      <c r="G81" s="385" t="s">
        <v>196</v>
      </c>
      <c r="H81" s="563">
        <v>1200</v>
      </c>
      <c r="I81" s="383">
        <f>IF(X81 = 24, H81 + SUM(S81:S81) - SUM(T81:T81) - SUM(P81:P81) - V81,0)</f>
        <v>0</v>
      </c>
      <c r="J81" s="386">
        <v>2369000660</v>
      </c>
      <c r="K81" s="387" t="s">
        <v>157</v>
      </c>
      <c r="L81" s="379" t="s">
        <v>146</v>
      </c>
      <c r="M81" s="379"/>
      <c r="N81" s="325"/>
      <c r="O81" s="381" t="s">
        <v>194</v>
      </c>
      <c r="P81" s="310">
        <v>1200</v>
      </c>
      <c r="Q81" s="311">
        <v>45351</v>
      </c>
      <c r="R81" s="312"/>
      <c r="S81" s="310"/>
      <c r="T81" s="310"/>
      <c r="U81" s="382"/>
      <c r="V81" s="384"/>
      <c r="W81" s="380"/>
      <c r="X81" s="107">
        <v>24</v>
      </c>
    </row>
    <row r="82" spans="1:24" s="107" customFormat="1" ht="131.25" customHeight="1" x14ac:dyDescent="0.3">
      <c r="A82" s="702">
        <v>8</v>
      </c>
      <c r="B82" s="662" t="s">
        <v>56</v>
      </c>
      <c r="C82" s="662" t="s">
        <v>146</v>
      </c>
      <c r="D82" s="662" t="s">
        <v>178</v>
      </c>
      <c r="E82" s="662" t="s">
        <v>110</v>
      </c>
      <c r="F82" s="656">
        <v>45289</v>
      </c>
      <c r="G82" s="967" t="s">
        <v>200</v>
      </c>
      <c r="H82" s="726">
        <v>15600</v>
      </c>
      <c r="I82" s="728">
        <f>IF(X82 = 25, H82 + SUM(S82:S93) - SUM(T82:T93) - SUM(P82:P93) - V82,0)</f>
        <v>0</v>
      </c>
      <c r="J82" s="889">
        <v>231107998282</v>
      </c>
      <c r="K82" s="892" t="s">
        <v>199</v>
      </c>
      <c r="L82" s="662" t="s">
        <v>146</v>
      </c>
      <c r="M82" s="662"/>
      <c r="N82" s="522">
        <v>45315</v>
      </c>
      <c r="O82" s="656" t="s">
        <v>194</v>
      </c>
      <c r="P82" s="513">
        <v>1300</v>
      </c>
      <c r="Q82" s="514">
        <v>45324</v>
      </c>
      <c r="R82" s="515"/>
      <c r="S82" s="513"/>
      <c r="T82" s="513"/>
      <c r="U82" s="659"/>
      <c r="V82" s="939"/>
      <c r="W82" s="668"/>
      <c r="X82" s="107">
        <v>25</v>
      </c>
    </row>
    <row r="83" spans="1:24" s="2" customFormat="1" x14ac:dyDescent="0.3">
      <c r="A83" s="703"/>
      <c r="B83" s="663"/>
      <c r="C83" s="663"/>
      <c r="D83" s="663"/>
      <c r="E83" s="663"/>
      <c r="F83" s="657"/>
      <c r="G83" s="968"/>
      <c r="H83" s="735"/>
      <c r="I83" s="736"/>
      <c r="J83" s="890"/>
      <c r="K83" s="893"/>
      <c r="L83" s="663"/>
      <c r="M83" s="663"/>
      <c r="N83" s="523">
        <v>45351</v>
      </c>
      <c r="O83" s="657"/>
      <c r="P83" s="516">
        <v>1300</v>
      </c>
      <c r="Q83" s="517">
        <v>45351</v>
      </c>
      <c r="R83" s="518"/>
      <c r="S83" s="516"/>
      <c r="T83" s="516"/>
      <c r="U83" s="660"/>
      <c r="V83" s="940"/>
      <c r="W83" s="669"/>
      <c r="X83" s="2">
        <v>25</v>
      </c>
    </row>
    <row r="84" spans="1:24" s="2" customFormat="1" x14ac:dyDescent="0.3">
      <c r="A84" s="703"/>
      <c r="B84" s="663"/>
      <c r="C84" s="663"/>
      <c r="D84" s="663"/>
      <c r="E84" s="663"/>
      <c r="F84" s="657"/>
      <c r="G84" s="968"/>
      <c r="H84" s="735"/>
      <c r="I84" s="736"/>
      <c r="J84" s="890"/>
      <c r="K84" s="893"/>
      <c r="L84" s="663"/>
      <c r="M84" s="663"/>
      <c r="N84" s="523">
        <v>45382</v>
      </c>
      <c r="O84" s="657"/>
      <c r="P84" s="516">
        <v>1300</v>
      </c>
      <c r="Q84" s="517">
        <v>45383</v>
      </c>
      <c r="R84" s="518"/>
      <c r="S84" s="516"/>
      <c r="T84" s="516"/>
      <c r="U84" s="660"/>
      <c r="V84" s="940"/>
      <c r="W84" s="669"/>
      <c r="X84" s="2">
        <v>25</v>
      </c>
    </row>
    <row r="85" spans="1:24" s="2" customFormat="1" x14ac:dyDescent="0.3">
      <c r="A85" s="703"/>
      <c r="B85" s="663"/>
      <c r="C85" s="663"/>
      <c r="D85" s="663"/>
      <c r="E85" s="663"/>
      <c r="F85" s="657"/>
      <c r="G85" s="968"/>
      <c r="H85" s="735"/>
      <c r="I85" s="736"/>
      <c r="J85" s="890"/>
      <c r="K85" s="893"/>
      <c r="L85" s="663"/>
      <c r="M85" s="663"/>
      <c r="N85" s="523">
        <v>45409</v>
      </c>
      <c r="O85" s="657"/>
      <c r="P85" s="516">
        <v>1300</v>
      </c>
      <c r="Q85" s="517">
        <v>45419</v>
      </c>
      <c r="R85" s="518"/>
      <c r="S85" s="516"/>
      <c r="T85" s="516"/>
      <c r="U85" s="660"/>
      <c r="V85" s="940"/>
      <c r="W85" s="669"/>
      <c r="X85" s="2">
        <v>25</v>
      </c>
    </row>
    <row r="86" spans="1:24" s="2" customFormat="1" x14ac:dyDescent="0.3">
      <c r="A86" s="703"/>
      <c r="B86" s="663"/>
      <c r="C86" s="663"/>
      <c r="D86" s="663"/>
      <c r="E86" s="663"/>
      <c r="F86" s="657"/>
      <c r="G86" s="968"/>
      <c r="H86" s="735"/>
      <c r="I86" s="736"/>
      <c r="J86" s="890"/>
      <c r="K86" s="893"/>
      <c r="L86" s="663"/>
      <c r="M86" s="663"/>
      <c r="N86" s="523">
        <v>45443</v>
      </c>
      <c r="O86" s="657"/>
      <c r="P86" s="516">
        <v>1300</v>
      </c>
      <c r="Q86" s="517">
        <v>45448</v>
      </c>
      <c r="R86" s="518"/>
      <c r="S86" s="516"/>
      <c r="T86" s="516"/>
      <c r="U86" s="660"/>
      <c r="V86" s="940"/>
      <c r="W86" s="669"/>
      <c r="X86" s="2">
        <v>25</v>
      </c>
    </row>
    <row r="87" spans="1:24" s="2" customFormat="1" x14ac:dyDescent="0.3">
      <c r="A87" s="703"/>
      <c r="B87" s="663"/>
      <c r="C87" s="663"/>
      <c r="D87" s="663"/>
      <c r="E87" s="663"/>
      <c r="F87" s="657"/>
      <c r="G87" s="968"/>
      <c r="H87" s="735"/>
      <c r="I87" s="736"/>
      <c r="J87" s="890"/>
      <c r="K87" s="893"/>
      <c r="L87" s="663"/>
      <c r="M87" s="663"/>
      <c r="N87" s="523">
        <v>45473</v>
      </c>
      <c r="O87" s="657"/>
      <c r="P87" s="516">
        <v>1300</v>
      </c>
      <c r="Q87" s="517">
        <v>45475</v>
      </c>
      <c r="R87" s="518"/>
      <c r="S87" s="516"/>
      <c r="T87" s="516"/>
      <c r="U87" s="660"/>
      <c r="V87" s="940"/>
      <c r="W87" s="669"/>
      <c r="X87" s="2">
        <v>25</v>
      </c>
    </row>
    <row r="88" spans="1:24" s="2" customFormat="1" x14ac:dyDescent="0.3">
      <c r="A88" s="703"/>
      <c r="B88" s="663"/>
      <c r="C88" s="663"/>
      <c r="D88" s="663"/>
      <c r="E88" s="663"/>
      <c r="F88" s="657"/>
      <c r="G88" s="968"/>
      <c r="H88" s="735"/>
      <c r="I88" s="736"/>
      <c r="J88" s="890"/>
      <c r="K88" s="893"/>
      <c r="L88" s="663"/>
      <c r="M88" s="663"/>
      <c r="N88" s="523">
        <v>45504</v>
      </c>
      <c r="O88" s="657"/>
      <c r="P88" s="516">
        <v>1300</v>
      </c>
      <c r="Q88" s="517">
        <v>45504</v>
      </c>
      <c r="R88" s="518"/>
      <c r="S88" s="516"/>
      <c r="T88" s="516"/>
      <c r="U88" s="660"/>
      <c r="V88" s="940"/>
      <c r="W88" s="669"/>
      <c r="X88" s="2">
        <v>25</v>
      </c>
    </row>
    <row r="89" spans="1:24" s="2" customFormat="1" x14ac:dyDescent="0.3">
      <c r="A89" s="703"/>
      <c r="B89" s="663"/>
      <c r="C89" s="663"/>
      <c r="D89" s="663"/>
      <c r="E89" s="663"/>
      <c r="F89" s="657"/>
      <c r="G89" s="968"/>
      <c r="H89" s="735"/>
      <c r="I89" s="736"/>
      <c r="J89" s="890"/>
      <c r="K89" s="893"/>
      <c r="L89" s="663"/>
      <c r="M89" s="663"/>
      <c r="N89" s="523">
        <v>45535</v>
      </c>
      <c r="O89" s="657"/>
      <c r="P89" s="516">
        <v>1300</v>
      </c>
      <c r="Q89" s="517">
        <v>45537</v>
      </c>
      <c r="R89" s="518"/>
      <c r="S89" s="516"/>
      <c r="T89" s="516"/>
      <c r="U89" s="660"/>
      <c r="V89" s="940"/>
      <c r="W89" s="669"/>
      <c r="X89" s="2">
        <v>25</v>
      </c>
    </row>
    <row r="90" spans="1:24" s="2" customFormat="1" x14ac:dyDescent="0.3">
      <c r="A90" s="703"/>
      <c r="B90" s="663"/>
      <c r="C90" s="663"/>
      <c r="D90" s="663"/>
      <c r="E90" s="663"/>
      <c r="F90" s="657"/>
      <c r="G90" s="968"/>
      <c r="H90" s="735"/>
      <c r="I90" s="736"/>
      <c r="J90" s="890"/>
      <c r="K90" s="893"/>
      <c r="L90" s="663"/>
      <c r="M90" s="663"/>
      <c r="N90" s="523">
        <v>45565</v>
      </c>
      <c r="O90" s="657"/>
      <c r="P90" s="516">
        <v>1300</v>
      </c>
      <c r="Q90" s="517">
        <v>45569</v>
      </c>
      <c r="R90" s="518"/>
      <c r="S90" s="516"/>
      <c r="T90" s="516"/>
      <c r="U90" s="660"/>
      <c r="V90" s="940"/>
      <c r="W90" s="669"/>
      <c r="X90" s="2">
        <v>25</v>
      </c>
    </row>
    <row r="91" spans="1:24" s="2" customFormat="1" x14ac:dyDescent="0.3">
      <c r="A91" s="703"/>
      <c r="B91" s="663"/>
      <c r="C91" s="663"/>
      <c r="D91" s="663"/>
      <c r="E91" s="663"/>
      <c r="F91" s="657"/>
      <c r="G91" s="968"/>
      <c r="H91" s="735"/>
      <c r="I91" s="736"/>
      <c r="J91" s="890"/>
      <c r="K91" s="893"/>
      <c r="L91" s="663"/>
      <c r="M91" s="663"/>
      <c r="N91" s="523">
        <v>45596</v>
      </c>
      <c r="O91" s="657"/>
      <c r="P91" s="516">
        <v>1300</v>
      </c>
      <c r="Q91" s="517">
        <v>45632</v>
      </c>
      <c r="R91" s="518"/>
      <c r="S91" s="516"/>
      <c r="T91" s="516"/>
      <c r="U91" s="660"/>
      <c r="V91" s="940"/>
      <c r="W91" s="669"/>
      <c r="X91" s="2">
        <v>25</v>
      </c>
    </row>
    <row r="92" spans="1:24" s="2" customFormat="1" x14ac:dyDescent="0.3">
      <c r="A92" s="703"/>
      <c r="B92" s="663"/>
      <c r="C92" s="663"/>
      <c r="D92" s="663"/>
      <c r="E92" s="663"/>
      <c r="F92" s="657"/>
      <c r="G92" s="968"/>
      <c r="H92" s="735"/>
      <c r="I92" s="736"/>
      <c r="J92" s="890"/>
      <c r="K92" s="893"/>
      <c r="L92" s="663"/>
      <c r="M92" s="663"/>
      <c r="N92" s="523">
        <v>45626</v>
      </c>
      <c r="O92" s="657"/>
      <c r="P92" s="516">
        <v>1300</v>
      </c>
      <c r="Q92" s="517">
        <v>45632</v>
      </c>
      <c r="R92" s="518"/>
      <c r="S92" s="516"/>
      <c r="T92" s="516"/>
      <c r="U92" s="660"/>
      <c r="V92" s="940"/>
      <c r="W92" s="669"/>
      <c r="X92" s="2">
        <v>25</v>
      </c>
    </row>
    <row r="93" spans="1:24" s="2" customFormat="1" x14ac:dyDescent="0.3">
      <c r="A93" s="704"/>
      <c r="B93" s="664"/>
      <c r="C93" s="664"/>
      <c r="D93" s="664"/>
      <c r="E93" s="664"/>
      <c r="F93" s="658"/>
      <c r="G93" s="969"/>
      <c r="H93" s="727"/>
      <c r="I93" s="729"/>
      <c r="J93" s="891"/>
      <c r="K93" s="894"/>
      <c r="L93" s="664"/>
      <c r="M93" s="664"/>
      <c r="N93" s="524">
        <v>45643</v>
      </c>
      <c r="O93" s="658"/>
      <c r="P93" s="519">
        <v>1300</v>
      </c>
      <c r="Q93" s="520">
        <v>45643</v>
      </c>
      <c r="R93" s="521"/>
      <c r="S93" s="519"/>
      <c r="T93" s="519"/>
      <c r="U93" s="661"/>
      <c r="V93" s="941"/>
      <c r="W93" s="670"/>
      <c r="X93" s="2">
        <v>25</v>
      </c>
    </row>
    <row r="94" spans="1:24" s="107" customFormat="1" ht="108" customHeight="1" x14ac:dyDescent="0.3">
      <c r="A94" s="815">
        <v>9</v>
      </c>
      <c r="B94" s="809" t="s">
        <v>56</v>
      </c>
      <c r="C94" s="809" t="s">
        <v>146</v>
      </c>
      <c r="D94" s="809" t="s">
        <v>147</v>
      </c>
      <c r="E94" s="809" t="s">
        <v>112</v>
      </c>
      <c r="F94" s="818">
        <v>45289</v>
      </c>
      <c r="G94" s="860" t="s">
        <v>201</v>
      </c>
      <c r="H94" s="821">
        <v>205534.8</v>
      </c>
      <c r="I94" s="823">
        <f>IF(X94 = 26, H94 + SUM(S94:S118) - SUM(T94:T118) - SUM(P94:P118) - V94,0)</f>
        <v>-1.4551915228366852E-11</v>
      </c>
      <c r="J94" s="825">
        <v>2353020735</v>
      </c>
      <c r="K94" s="827" t="s">
        <v>156</v>
      </c>
      <c r="L94" s="809" t="s">
        <v>146</v>
      </c>
      <c r="M94" s="809"/>
      <c r="N94" s="210">
        <v>45322</v>
      </c>
      <c r="O94" s="818" t="s">
        <v>194</v>
      </c>
      <c r="P94" s="201">
        <v>450</v>
      </c>
      <c r="Q94" s="202">
        <v>45334</v>
      </c>
      <c r="R94" s="203"/>
      <c r="S94" s="201"/>
      <c r="T94" s="201"/>
      <c r="U94" s="885" t="s">
        <v>279</v>
      </c>
      <c r="V94" s="812">
        <v>52977.2</v>
      </c>
      <c r="W94" s="908"/>
      <c r="X94" s="107">
        <v>26</v>
      </c>
    </row>
    <row r="95" spans="1:24" s="2" customFormat="1" x14ac:dyDescent="0.3">
      <c r="A95" s="816"/>
      <c r="B95" s="810"/>
      <c r="C95" s="810"/>
      <c r="D95" s="810"/>
      <c r="E95" s="810"/>
      <c r="F95" s="819"/>
      <c r="G95" s="861"/>
      <c r="H95" s="822"/>
      <c r="I95" s="824"/>
      <c r="J95" s="826"/>
      <c r="K95" s="828"/>
      <c r="L95" s="810"/>
      <c r="M95" s="810"/>
      <c r="N95" s="211">
        <v>45322</v>
      </c>
      <c r="O95" s="819"/>
      <c r="P95" s="204">
        <v>1413</v>
      </c>
      <c r="Q95" s="205">
        <v>45334</v>
      </c>
      <c r="R95" s="206"/>
      <c r="S95" s="204"/>
      <c r="T95" s="204"/>
      <c r="U95" s="886"/>
      <c r="V95" s="813"/>
      <c r="W95" s="909"/>
      <c r="X95" s="2">
        <v>26</v>
      </c>
    </row>
    <row r="96" spans="1:24" s="2" customFormat="1" x14ac:dyDescent="0.3">
      <c r="A96" s="816"/>
      <c r="B96" s="810"/>
      <c r="C96" s="810"/>
      <c r="D96" s="810"/>
      <c r="E96" s="810"/>
      <c r="F96" s="819"/>
      <c r="G96" s="861"/>
      <c r="H96" s="822"/>
      <c r="I96" s="824"/>
      <c r="J96" s="826"/>
      <c r="K96" s="828"/>
      <c r="L96" s="810"/>
      <c r="M96" s="810"/>
      <c r="N96" s="211">
        <v>45322</v>
      </c>
      <c r="O96" s="819"/>
      <c r="P96" s="204">
        <v>2998.4</v>
      </c>
      <c r="Q96" s="205">
        <v>45334</v>
      </c>
      <c r="R96" s="206"/>
      <c r="S96" s="204"/>
      <c r="T96" s="204"/>
      <c r="U96" s="886"/>
      <c r="V96" s="813"/>
      <c r="W96" s="909"/>
      <c r="X96" s="2">
        <v>26</v>
      </c>
    </row>
    <row r="97" spans="1:24" s="2" customFormat="1" x14ac:dyDescent="0.3">
      <c r="A97" s="816"/>
      <c r="B97" s="810"/>
      <c r="C97" s="810"/>
      <c r="D97" s="810"/>
      <c r="E97" s="810"/>
      <c r="F97" s="819"/>
      <c r="G97" s="861"/>
      <c r="H97" s="822"/>
      <c r="I97" s="824"/>
      <c r="J97" s="826"/>
      <c r="K97" s="828"/>
      <c r="L97" s="810"/>
      <c r="M97" s="810"/>
      <c r="N97" s="211">
        <v>45322</v>
      </c>
      <c r="O97" s="819"/>
      <c r="P97" s="204">
        <v>960</v>
      </c>
      <c r="Q97" s="205">
        <v>45334</v>
      </c>
      <c r="R97" s="206"/>
      <c r="S97" s="204"/>
      <c r="T97" s="204"/>
      <c r="U97" s="886"/>
      <c r="V97" s="813"/>
      <c r="W97" s="909"/>
      <c r="X97" s="2">
        <v>26</v>
      </c>
    </row>
    <row r="98" spans="1:24" s="2" customFormat="1" x14ac:dyDescent="0.3">
      <c r="A98" s="816"/>
      <c r="B98" s="810"/>
      <c r="C98" s="810"/>
      <c r="D98" s="810"/>
      <c r="E98" s="810"/>
      <c r="F98" s="819"/>
      <c r="G98" s="861"/>
      <c r="H98" s="822"/>
      <c r="I98" s="824"/>
      <c r="J98" s="826"/>
      <c r="K98" s="828"/>
      <c r="L98" s="810"/>
      <c r="M98" s="810"/>
      <c r="N98" s="211">
        <v>45322</v>
      </c>
      <c r="O98" s="819"/>
      <c r="P98" s="204">
        <v>10140</v>
      </c>
      <c r="Q98" s="205">
        <v>45334</v>
      </c>
      <c r="R98" s="206"/>
      <c r="S98" s="204"/>
      <c r="T98" s="204"/>
      <c r="U98" s="886"/>
      <c r="V98" s="813"/>
      <c r="W98" s="909"/>
      <c r="X98" s="2">
        <v>26</v>
      </c>
    </row>
    <row r="99" spans="1:24" s="2" customFormat="1" x14ac:dyDescent="0.3">
      <c r="A99" s="816"/>
      <c r="B99" s="810"/>
      <c r="C99" s="810"/>
      <c r="D99" s="810"/>
      <c r="E99" s="810"/>
      <c r="F99" s="819"/>
      <c r="G99" s="861"/>
      <c r="H99" s="822"/>
      <c r="I99" s="824"/>
      <c r="J99" s="826"/>
      <c r="K99" s="828"/>
      <c r="L99" s="810"/>
      <c r="M99" s="810"/>
      <c r="N99" s="211">
        <v>45322</v>
      </c>
      <c r="O99" s="819"/>
      <c r="P99" s="204">
        <v>17418.759999999998</v>
      </c>
      <c r="Q99" s="205">
        <v>45334</v>
      </c>
      <c r="R99" s="206"/>
      <c r="S99" s="204"/>
      <c r="T99" s="204"/>
      <c r="U99" s="886"/>
      <c r="V99" s="813"/>
      <c r="W99" s="909"/>
      <c r="X99" s="2">
        <v>26</v>
      </c>
    </row>
    <row r="100" spans="1:24" s="2" customFormat="1" x14ac:dyDescent="0.3">
      <c r="A100" s="816"/>
      <c r="B100" s="810"/>
      <c r="C100" s="810"/>
      <c r="D100" s="810"/>
      <c r="E100" s="810"/>
      <c r="F100" s="819"/>
      <c r="G100" s="861"/>
      <c r="H100" s="822"/>
      <c r="I100" s="824"/>
      <c r="J100" s="826"/>
      <c r="K100" s="828"/>
      <c r="L100" s="810"/>
      <c r="M100" s="810"/>
      <c r="N100" s="211">
        <v>45322</v>
      </c>
      <c r="O100" s="819"/>
      <c r="P100" s="204">
        <v>14251.84</v>
      </c>
      <c r="Q100" s="205">
        <v>45334</v>
      </c>
      <c r="R100" s="206"/>
      <c r="S100" s="204"/>
      <c r="T100" s="204"/>
      <c r="U100" s="886"/>
      <c r="V100" s="813"/>
      <c r="W100" s="909"/>
      <c r="X100" s="2">
        <v>26</v>
      </c>
    </row>
    <row r="101" spans="1:24" s="2" customFormat="1" x14ac:dyDescent="0.3">
      <c r="A101" s="816"/>
      <c r="B101" s="810"/>
      <c r="C101" s="810"/>
      <c r="D101" s="810"/>
      <c r="E101" s="810"/>
      <c r="F101" s="819"/>
      <c r="G101" s="861"/>
      <c r="H101" s="822"/>
      <c r="I101" s="824"/>
      <c r="J101" s="826"/>
      <c r="K101" s="828"/>
      <c r="L101" s="810"/>
      <c r="M101" s="810"/>
      <c r="N101" s="211">
        <v>45351</v>
      </c>
      <c r="O101" s="819"/>
      <c r="P101" s="204">
        <v>21747.68</v>
      </c>
      <c r="Q101" s="205">
        <v>45364</v>
      </c>
      <c r="R101" s="206"/>
      <c r="S101" s="204"/>
      <c r="T101" s="204"/>
      <c r="U101" s="886"/>
      <c r="V101" s="813"/>
      <c r="W101" s="909"/>
      <c r="X101" s="2">
        <v>26</v>
      </c>
    </row>
    <row r="102" spans="1:24" s="2" customFormat="1" x14ac:dyDescent="0.3">
      <c r="A102" s="816"/>
      <c r="B102" s="810"/>
      <c r="C102" s="810"/>
      <c r="D102" s="810"/>
      <c r="E102" s="810"/>
      <c r="F102" s="819"/>
      <c r="G102" s="861"/>
      <c r="H102" s="822"/>
      <c r="I102" s="824"/>
      <c r="J102" s="826"/>
      <c r="K102" s="828"/>
      <c r="L102" s="810"/>
      <c r="M102" s="810"/>
      <c r="N102" s="211">
        <v>45351</v>
      </c>
      <c r="O102" s="819"/>
      <c r="P102" s="204">
        <v>17793.72</v>
      </c>
      <c r="Q102" s="205">
        <v>45364</v>
      </c>
      <c r="R102" s="206"/>
      <c r="S102" s="204"/>
      <c r="T102" s="204"/>
      <c r="U102" s="886"/>
      <c r="V102" s="813"/>
      <c r="W102" s="909"/>
      <c r="X102" s="2">
        <v>26</v>
      </c>
    </row>
    <row r="103" spans="1:24" s="2" customFormat="1" x14ac:dyDescent="0.3">
      <c r="A103" s="816"/>
      <c r="B103" s="810"/>
      <c r="C103" s="810"/>
      <c r="D103" s="810"/>
      <c r="E103" s="810"/>
      <c r="F103" s="819"/>
      <c r="G103" s="861"/>
      <c r="H103" s="822"/>
      <c r="I103" s="824"/>
      <c r="J103" s="826"/>
      <c r="K103" s="828"/>
      <c r="L103" s="810"/>
      <c r="M103" s="810"/>
      <c r="N103" s="211">
        <v>45351</v>
      </c>
      <c r="O103" s="819"/>
      <c r="P103" s="204">
        <v>12660</v>
      </c>
      <c r="Q103" s="205">
        <v>45364</v>
      </c>
      <c r="R103" s="206"/>
      <c r="S103" s="204"/>
      <c r="T103" s="204"/>
      <c r="U103" s="886"/>
      <c r="V103" s="813"/>
      <c r="W103" s="909"/>
      <c r="X103" s="2">
        <v>26</v>
      </c>
    </row>
    <row r="104" spans="1:24" s="2" customFormat="1" x14ac:dyDescent="0.3">
      <c r="A104" s="816"/>
      <c r="B104" s="810"/>
      <c r="C104" s="810"/>
      <c r="D104" s="810"/>
      <c r="E104" s="810"/>
      <c r="F104" s="819"/>
      <c r="G104" s="861"/>
      <c r="H104" s="822"/>
      <c r="I104" s="824"/>
      <c r="J104" s="826"/>
      <c r="K104" s="828"/>
      <c r="L104" s="810"/>
      <c r="M104" s="810"/>
      <c r="N104" s="211">
        <v>45351</v>
      </c>
      <c r="O104" s="819"/>
      <c r="P104" s="204">
        <v>1295.24</v>
      </c>
      <c r="Q104" s="205">
        <v>45364</v>
      </c>
      <c r="R104" s="206"/>
      <c r="S104" s="204"/>
      <c r="T104" s="204"/>
      <c r="U104" s="886"/>
      <c r="V104" s="813"/>
      <c r="W104" s="909"/>
      <c r="X104" s="2">
        <v>26</v>
      </c>
    </row>
    <row r="105" spans="1:24" s="2" customFormat="1" x14ac:dyDescent="0.3">
      <c r="A105" s="816"/>
      <c r="B105" s="810"/>
      <c r="C105" s="810"/>
      <c r="D105" s="810"/>
      <c r="E105" s="810"/>
      <c r="F105" s="819"/>
      <c r="G105" s="861"/>
      <c r="H105" s="822"/>
      <c r="I105" s="824"/>
      <c r="J105" s="826"/>
      <c r="K105" s="828"/>
      <c r="L105" s="810"/>
      <c r="M105" s="810"/>
      <c r="N105" s="211">
        <v>45351</v>
      </c>
      <c r="O105" s="819"/>
      <c r="P105" s="204">
        <v>1059.76</v>
      </c>
      <c r="Q105" s="205">
        <v>45364</v>
      </c>
      <c r="R105" s="206"/>
      <c r="S105" s="204"/>
      <c r="T105" s="204"/>
      <c r="U105" s="886"/>
      <c r="V105" s="813"/>
      <c r="W105" s="909"/>
      <c r="X105" s="2">
        <v>26</v>
      </c>
    </row>
    <row r="106" spans="1:24" s="2" customFormat="1" x14ac:dyDescent="0.3">
      <c r="A106" s="816"/>
      <c r="B106" s="810"/>
      <c r="C106" s="810"/>
      <c r="D106" s="810"/>
      <c r="E106" s="810"/>
      <c r="F106" s="819"/>
      <c r="G106" s="861"/>
      <c r="H106" s="822"/>
      <c r="I106" s="824"/>
      <c r="J106" s="826"/>
      <c r="K106" s="828"/>
      <c r="L106" s="810"/>
      <c r="M106" s="810"/>
      <c r="N106" s="211">
        <v>45351</v>
      </c>
      <c r="O106" s="819"/>
      <c r="P106" s="204">
        <v>750</v>
      </c>
      <c r="Q106" s="205">
        <v>45364</v>
      </c>
      <c r="R106" s="206"/>
      <c r="S106" s="204"/>
      <c r="T106" s="204"/>
      <c r="U106" s="886"/>
      <c r="V106" s="813"/>
      <c r="W106" s="909"/>
      <c r="X106" s="2">
        <v>26</v>
      </c>
    </row>
    <row r="107" spans="1:24" s="2" customFormat="1" x14ac:dyDescent="0.3">
      <c r="A107" s="816"/>
      <c r="B107" s="810"/>
      <c r="C107" s="810"/>
      <c r="D107" s="810"/>
      <c r="E107" s="810"/>
      <c r="F107" s="819"/>
      <c r="G107" s="861"/>
      <c r="H107" s="822"/>
      <c r="I107" s="824"/>
      <c r="J107" s="826"/>
      <c r="K107" s="828"/>
      <c r="L107" s="810"/>
      <c r="M107" s="810"/>
      <c r="N107" s="211">
        <v>45351</v>
      </c>
      <c r="O107" s="819"/>
      <c r="P107" s="204">
        <v>282.60000000000002</v>
      </c>
      <c r="Q107" s="205">
        <v>45364</v>
      </c>
      <c r="R107" s="206"/>
      <c r="S107" s="204"/>
      <c r="T107" s="204"/>
      <c r="U107" s="886"/>
      <c r="V107" s="813"/>
      <c r="W107" s="909"/>
      <c r="X107" s="2">
        <v>26</v>
      </c>
    </row>
    <row r="108" spans="1:24" s="2" customFormat="1" x14ac:dyDescent="0.3">
      <c r="A108" s="816"/>
      <c r="B108" s="810"/>
      <c r="C108" s="810"/>
      <c r="D108" s="810"/>
      <c r="E108" s="810"/>
      <c r="F108" s="819"/>
      <c r="G108" s="861"/>
      <c r="H108" s="822"/>
      <c r="I108" s="824"/>
      <c r="J108" s="826"/>
      <c r="K108" s="828"/>
      <c r="L108" s="810"/>
      <c r="M108" s="810"/>
      <c r="N108" s="211">
        <v>45351</v>
      </c>
      <c r="O108" s="819"/>
      <c r="P108" s="204">
        <v>90</v>
      </c>
      <c r="Q108" s="205">
        <v>45364</v>
      </c>
      <c r="R108" s="206"/>
      <c r="S108" s="204"/>
      <c r="T108" s="204"/>
      <c r="U108" s="886"/>
      <c r="V108" s="813"/>
      <c r="W108" s="909"/>
      <c r="X108" s="2">
        <v>26</v>
      </c>
    </row>
    <row r="109" spans="1:24" s="2" customFormat="1" x14ac:dyDescent="0.3">
      <c r="A109" s="816"/>
      <c r="B109" s="810"/>
      <c r="C109" s="810"/>
      <c r="D109" s="810"/>
      <c r="E109" s="810"/>
      <c r="F109" s="819"/>
      <c r="G109" s="861"/>
      <c r="H109" s="822"/>
      <c r="I109" s="824"/>
      <c r="J109" s="826"/>
      <c r="K109" s="828"/>
      <c r="L109" s="810"/>
      <c r="M109" s="810"/>
      <c r="N109" s="211">
        <v>45351</v>
      </c>
      <c r="O109" s="819"/>
      <c r="P109" s="204">
        <v>2061.4</v>
      </c>
      <c r="Q109" s="205">
        <v>45364</v>
      </c>
      <c r="R109" s="206"/>
      <c r="S109" s="204"/>
      <c r="T109" s="204"/>
      <c r="U109" s="886"/>
      <c r="V109" s="813"/>
      <c r="W109" s="909"/>
      <c r="X109" s="2">
        <v>26</v>
      </c>
    </row>
    <row r="110" spans="1:24" s="2" customFormat="1" x14ac:dyDescent="0.3">
      <c r="A110" s="816"/>
      <c r="B110" s="810"/>
      <c r="C110" s="810"/>
      <c r="D110" s="810"/>
      <c r="E110" s="810"/>
      <c r="F110" s="819"/>
      <c r="G110" s="861"/>
      <c r="H110" s="822"/>
      <c r="I110" s="824"/>
      <c r="J110" s="826"/>
      <c r="K110" s="828"/>
      <c r="L110" s="810"/>
      <c r="M110" s="810"/>
      <c r="N110" s="211">
        <v>45351</v>
      </c>
      <c r="O110" s="819"/>
      <c r="P110" s="204">
        <v>660</v>
      </c>
      <c r="Q110" s="205">
        <v>45364</v>
      </c>
      <c r="R110" s="206"/>
      <c r="S110" s="204"/>
      <c r="T110" s="204"/>
      <c r="U110" s="886"/>
      <c r="V110" s="813"/>
      <c r="W110" s="909"/>
      <c r="X110" s="2">
        <v>26</v>
      </c>
    </row>
    <row r="111" spans="1:24" s="2" customFormat="1" x14ac:dyDescent="0.3">
      <c r="A111" s="816"/>
      <c r="B111" s="810"/>
      <c r="C111" s="810"/>
      <c r="D111" s="810"/>
      <c r="E111" s="810"/>
      <c r="F111" s="819"/>
      <c r="G111" s="861"/>
      <c r="H111" s="822"/>
      <c r="I111" s="824"/>
      <c r="J111" s="826"/>
      <c r="K111" s="828"/>
      <c r="L111" s="810"/>
      <c r="M111" s="810"/>
      <c r="N111" s="211">
        <v>45373</v>
      </c>
      <c r="O111" s="819"/>
      <c r="P111" s="204">
        <v>840</v>
      </c>
      <c r="Q111" s="205">
        <v>45387</v>
      </c>
      <c r="R111" s="206"/>
      <c r="S111" s="204"/>
      <c r="T111" s="204"/>
      <c r="U111" s="886"/>
      <c r="V111" s="813"/>
      <c r="W111" s="909"/>
      <c r="X111" s="2">
        <v>26</v>
      </c>
    </row>
    <row r="112" spans="1:24" s="2" customFormat="1" x14ac:dyDescent="0.3">
      <c r="A112" s="816"/>
      <c r="B112" s="810"/>
      <c r="C112" s="810"/>
      <c r="D112" s="810"/>
      <c r="E112" s="810"/>
      <c r="F112" s="819"/>
      <c r="G112" s="861"/>
      <c r="H112" s="822"/>
      <c r="I112" s="824"/>
      <c r="J112" s="826"/>
      <c r="K112" s="828"/>
      <c r="L112" s="810"/>
      <c r="M112" s="810"/>
      <c r="N112" s="211">
        <v>45373</v>
      </c>
      <c r="O112" s="819"/>
      <c r="P112" s="204">
        <v>9660</v>
      </c>
      <c r="Q112" s="205">
        <v>45387</v>
      </c>
      <c r="R112" s="206"/>
      <c r="S112" s="204"/>
      <c r="T112" s="204"/>
      <c r="U112" s="886"/>
      <c r="V112" s="813"/>
      <c r="W112" s="909"/>
      <c r="X112" s="2">
        <v>26</v>
      </c>
    </row>
    <row r="113" spans="1:24" s="2" customFormat="1" x14ac:dyDescent="0.3">
      <c r="A113" s="816"/>
      <c r="B113" s="810"/>
      <c r="C113" s="810"/>
      <c r="D113" s="810"/>
      <c r="E113" s="810"/>
      <c r="F113" s="819"/>
      <c r="G113" s="861"/>
      <c r="H113" s="822"/>
      <c r="I113" s="824"/>
      <c r="J113" s="826"/>
      <c r="K113" s="828"/>
      <c r="L113" s="810"/>
      <c r="M113" s="810"/>
      <c r="N113" s="211">
        <v>45373</v>
      </c>
      <c r="O113" s="819"/>
      <c r="P113" s="204">
        <v>780</v>
      </c>
      <c r="Q113" s="205">
        <v>45387</v>
      </c>
      <c r="R113" s="206"/>
      <c r="S113" s="204"/>
      <c r="T113" s="204"/>
      <c r="U113" s="886"/>
      <c r="V113" s="813"/>
      <c r="W113" s="909"/>
      <c r="X113" s="2">
        <v>26</v>
      </c>
    </row>
    <row r="114" spans="1:24" s="2" customFormat="1" x14ac:dyDescent="0.3">
      <c r="A114" s="816"/>
      <c r="B114" s="810"/>
      <c r="C114" s="810"/>
      <c r="D114" s="810"/>
      <c r="E114" s="810"/>
      <c r="F114" s="819"/>
      <c r="G114" s="861"/>
      <c r="H114" s="822"/>
      <c r="I114" s="824"/>
      <c r="J114" s="826"/>
      <c r="K114" s="828"/>
      <c r="L114" s="810"/>
      <c r="M114" s="810"/>
      <c r="N114" s="211">
        <v>45373</v>
      </c>
      <c r="O114" s="819"/>
      <c r="P114" s="204">
        <v>2436.1999999999998</v>
      </c>
      <c r="Q114" s="205">
        <v>45387</v>
      </c>
      <c r="R114" s="206"/>
      <c r="S114" s="204"/>
      <c r="T114" s="204"/>
      <c r="U114" s="886"/>
      <c r="V114" s="813"/>
      <c r="W114" s="909"/>
      <c r="X114" s="2">
        <v>26</v>
      </c>
    </row>
    <row r="115" spans="1:24" s="2" customFormat="1" x14ac:dyDescent="0.3">
      <c r="A115" s="816"/>
      <c r="B115" s="810"/>
      <c r="C115" s="810"/>
      <c r="D115" s="810"/>
      <c r="E115" s="810"/>
      <c r="F115" s="819"/>
      <c r="G115" s="861"/>
      <c r="H115" s="822"/>
      <c r="I115" s="824"/>
      <c r="J115" s="826"/>
      <c r="K115" s="828"/>
      <c r="L115" s="810"/>
      <c r="M115" s="810"/>
      <c r="N115" s="211">
        <v>45373</v>
      </c>
      <c r="O115" s="819"/>
      <c r="P115" s="204">
        <v>1450.67</v>
      </c>
      <c r="Q115" s="205">
        <v>45387</v>
      </c>
      <c r="R115" s="206"/>
      <c r="S115" s="204"/>
      <c r="T115" s="204"/>
      <c r="U115" s="886"/>
      <c r="V115" s="813"/>
      <c r="W115" s="909"/>
      <c r="X115" s="2">
        <v>26</v>
      </c>
    </row>
    <row r="116" spans="1:24" s="2" customFormat="1" x14ac:dyDescent="0.3">
      <c r="A116" s="816"/>
      <c r="B116" s="810"/>
      <c r="C116" s="810"/>
      <c r="D116" s="810"/>
      <c r="E116" s="810"/>
      <c r="F116" s="819"/>
      <c r="G116" s="861"/>
      <c r="H116" s="822"/>
      <c r="I116" s="824"/>
      <c r="J116" s="826"/>
      <c r="K116" s="828"/>
      <c r="L116" s="810"/>
      <c r="M116" s="810"/>
      <c r="N116" s="211">
        <v>45373</v>
      </c>
      <c r="O116" s="819"/>
      <c r="P116" s="204">
        <v>1186.93</v>
      </c>
      <c r="Q116" s="205">
        <v>45387</v>
      </c>
      <c r="R116" s="206"/>
      <c r="S116" s="204"/>
      <c r="T116" s="204"/>
      <c r="U116" s="886"/>
      <c r="V116" s="813"/>
      <c r="W116" s="909"/>
      <c r="X116" s="2">
        <v>26</v>
      </c>
    </row>
    <row r="117" spans="1:24" s="2" customFormat="1" x14ac:dyDescent="0.3">
      <c r="A117" s="816"/>
      <c r="B117" s="810"/>
      <c r="C117" s="810"/>
      <c r="D117" s="810"/>
      <c r="E117" s="810"/>
      <c r="F117" s="819"/>
      <c r="G117" s="861"/>
      <c r="H117" s="822"/>
      <c r="I117" s="824"/>
      <c r="J117" s="826"/>
      <c r="K117" s="828"/>
      <c r="L117" s="810"/>
      <c r="M117" s="810"/>
      <c r="N117" s="211">
        <v>45373</v>
      </c>
      <c r="O117" s="819"/>
      <c r="P117" s="204">
        <v>16594.2</v>
      </c>
      <c r="Q117" s="205">
        <v>45387</v>
      </c>
      <c r="R117" s="206"/>
      <c r="S117" s="204"/>
      <c r="T117" s="204"/>
      <c r="U117" s="886"/>
      <c r="V117" s="813"/>
      <c r="W117" s="909"/>
      <c r="X117" s="2">
        <v>26</v>
      </c>
    </row>
    <row r="118" spans="1:24" s="2" customFormat="1" x14ac:dyDescent="0.3">
      <c r="A118" s="817"/>
      <c r="B118" s="811"/>
      <c r="C118" s="811"/>
      <c r="D118" s="811"/>
      <c r="E118" s="811"/>
      <c r="F118" s="820"/>
      <c r="G118" s="862"/>
      <c r="H118" s="911"/>
      <c r="I118" s="887"/>
      <c r="J118" s="888"/>
      <c r="K118" s="863"/>
      <c r="L118" s="811"/>
      <c r="M118" s="811"/>
      <c r="N118" s="211">
        <v>45373</v>
      </c>
      <c r="O118" s="820"/>
      <c r="P118" s="207">
        <v>13577.2</v>
      </c>
      <c r="Q118" s="205">
        <v>45387</v>
      </c>
      <c r="R118" s="209"/>
      <c r="S118" s="207"/>
      <c r="T118" s="207"/>
      <c r="U118" s="907"/>
      <c r="V118" s="814"/>
      <c r="W118" s="910"/>
      <c r="X118" s="2">
        <v>26</v>
      </c>
    </row>
    <row r="119" spans="1:24" s="107" customFormat="1" ht="108" customHeight="1" x14ac:dyDescent="0.3">
      <c r="A119" s="815">
        <v>10</v>
      </c>
      <c r="B119" s="809" t="s">
        <v>56</v>
      </c>
      <c r="C119" s="809" t="s">
        <v>146</v>
      </c>
      <c r="D119" s="809" t="s">
        <v>147</v>
      </c>
      <c r="E119" s="809" t="s">
        <v>114</v>
      </c>
      <c r="F119" s="818">
        <v>45289</v>
      </c>
      <c r="G119" s="860" t="s">
        <v>202</v>
      </c>
      <c r="H119" s="821">
        <v>121197.6</v>
      </c>
      <c r="I119" s="823">
        <f>IF(X119 = 27, H119 + SUM(S119:S124) - SUM(T119:T124) - SUM(P119:P124) - V119,0)</f>
        <v>0</v>
      </c>
      <c r="J119" s="825">
        <v>2353020735</v>
      </c>
      <c r="K119" s="827" t="s">
        <v>156</v>
      </c>
      <c r="L119" s="809" t="s">
        <v>146</v>
      </c>
      <c r="M119" s="809"/>
      <c r="N119" s="210">
        <v>45322</v>
      </c>
      <c r="O119" s="818" t="s">
        <v>165</v>
      </c>
      <c r="P119" s="201">
        <v>17262</v>
      </c>
      <c r="Q119" s="202">
        <v>45334</v>
      </c>
      <c r="R119" s="203"/>
      <c r="S119" s="201"/>
      <c r="T119" s="201"/>
      <c r="U119" s="885" t="s">
        <v>279</v>
      </c>
      <c r="V119" s="812">
        <v>52056</v>
      </c>
      <c r="W119" s="908"/>
      <c r="X119" s="107">
        <v>27</v>
      </c>
    </row>
    <row r="120" spans="1:24" s="2" customFormat="1" x14ac:dyDescent="0.3">
      <c r="A120" s="816"/>
      <c r="B120" s="810"/>
      <c r="C120" s="810"/>
      <c r="D120" s="810"/>
      <c r="E120" s="810"/>
      <c r="F120" s="819"/>
      <c r="G120" s="861"/>
      <c r="H120" s="822"/>
      <c r="I120" s="824"/>
      <c r="J120" s="826"/>
      <c r="K120" s="828"/>
      <c r="L120" s="810"/>
      <c r="M120" s="810"/>
      <c r="N120" s="211">
        <v>45322</v>
      </c>
      <c r="O120" s="819"/>
      <c r="P120" s="204">
        <v>6822.4</v>
      </c>
      <c r="Q120" s="205">
        <v>45334</v>
      </c>
      <c r="R120" s="206"/>
      <c r="S120" s="204"/>
      <c r="T120" s="204"/>
      <c r="U120" s="886"/>
      <c r="V120" s="813"/>
      <c r="W120" s="909"/>
      <c r="X120" s="2">
        <v>27</v>
      </c>
    </row>
    <row r="121" spans="1:24" s="2" customFormat="1" x14ac:dyDescent="0.3">
      <c r="A121" s="816"/>
      <c r="B121" s="810"/>
      <c r="C121" s="810"/>
      <c r="D121" s="810"/>
      <c r="E121" s="810"/>
      <c r="F121" s="819"/>
      <c r="G121" s="861"/>
      <c r="H121" s="822"/>
      <c r="I121" s="824"/>
      <c r="J121" s="826"/>
      <c r="K121" s="828"/>
      <c r="L121" s="810"/>
      <c r="M121" s="810"/>
      <c r="N121" s="211">
        <v>45351</v>
      </c>
      <c r="O121" s="819"/>
      <c r="P121" s="204">
        <v>19044</v>
      </c>
      <c r="Q121" s="205">
        <v>45364</v>
      </c>
      <c r="R121" s="206"/>
      <c r="S121" s="204"/>
      <c r="T121" s="204"/>
      <c r="U121" s="886"/>
      <c r="V121" s="813"/>
      <c r="W121" s="909"/>
      <c r="X121" s="2">
        <v>27</v>
      </c>
    </row>
    <row r="122" spans="1:24" s="2" customFormat="1" x14ac:dyDescent="0.3">
      <c r="A122" s="816"/>
      <c r="B122" s="810"/>
      <c r="C122" s="810"/>
      <c r="D122" s="810"/>
      <c r="E122" s="810"/>
      <c r="F122" s="819"/>
      <c r="G122" s="861"/>
      <c r="H122" s="822"/>
      <c r="I122" s="824"/>
      <c r="J122" s="826"/>
      <c r="K122" s="828"/>
      <c r="L122" s="810"/>
      <c r="M122" s="810"/>
      <c r="N122" s="211">
        <v>45351</v>
      </c>
      <c r="O122" s="819"/>
      <c r="P122" s="204">
        <v>7321.6</v>
      </c>
      <c r="Q122" s="205">
        <v>45364</v>
      </c>
      <c r="R122" s="206"/>
      <c r="S122" s="204"/>
      <c r="T122" s="204"/>
      <c r="U122" s="886"/>
      <c r="V122" s="813"/>
      <c r="W122" s="909"/>
      <c r="X122" s="2">
        <v>27</v>
      </c>
    </row>
    <row r="123" spans="1:24" s="2" customFormat="1" x14ac:dyDescent="0.3">
      <c r="A123" s="816"/>
      <c r="B123" s="810"/>
      <c r="C123" s="810"/>
      <c r="D123" s="810"/>
      <c r="E123" s="810"/>
      <c r="F123" s="819"/>
      <c r="G123" s="861"/>
      <c r="H123" s="822"/>
      <c r="I123" s="824"/>
      <c r="J123" s="826"/>
      <c r="K123" s="828"/>
      <c r="L123" s="810"/>
      <c r="M123" s="810"/>
      <c r="N123" s="211">
        <v>45373</v>
      </c>
      <c r="O123" s="819"/>
      <c r="P123" s="204">
        <v>13554</v>
      </c>
      <c r="Q123" s="205">
        <v>45387</v>
      </c>
      <c r="R123" s="206"/>
      <c r="S123" s="204"/>
      <c r="T123" s="204"/>
      <c r="U123" s="886"/>
      <c r="V123" s="813"/>
      <c r="W123" s="909"/>
      <c r="X123" s="2">
        <v>27</v>
      </c>
    </row>
    <row r="124" spans="1:24" s="2" customFormat="1" x14ac:dyDescent="0.3">
      <c r="A124" s="817"/>
      <c r="B124" s="811"/>
      <c r="C124" s="811"/>
      <c r="D124" s="811"/>
      <c r="E124" s="811"/>
      <c r="F124" s="820"/>
      <c r="G124" s="862"/>
      <c r="H124" s="911"/>
      <c r="I124" s="887"/>
      <c r="J124" s="888"/>
      <c r="K124" s="863"/>
      <c r="L124" s="811"/>
      <c r="M124" s="811"/>
      <c r="N124" s="212">
        <v>45373</v>
      </c>
      <c r="O124" s="820"/>
      <c r="P124" s="207">
        <v>5137.6000000000004</v>
      </c>
      <c r="Q124" s="208">
        <v>45387</v>
      </c>
      <c r="R124" s="209"/>
      <c r="S124" s="207"/>
      <c r="T124" s="207"/>
      <c r="U124" s="907"/>
      <c r="V124" s="814"/>
      <c r="W124" s="910"/>
      <c r="X124" s="2">
        <v>27</v>
      </c>
    </row>
    <row r="125" spans="1:24" s="107" customFormat="1" ht="162" customHeight="1" x14ac:dyDescent="0.3">
      <c r="A125" s="815">
        <v>11</v>
      </c>
      <c r="B125" s="809" t="s">
        <v>56</v>
      </c>
      <c r="C125" s="809" t="s">
        <v>146</v>
      </c>
      <c r="D125" s="809" t="s">
        <v>147</v>
      </c>
      <c r="E125" s="809" t="s">
        <v>203</v>
      </c>
      <c r="F125" s="818">
        <v>45290</v>
      </c>
      <c r="G125" s="860" t="s">
        <v>204</v>
      </c>
      <c r="H125" s="821">
        <v>45600</v>
      </c>
      <c r="I125" s="823">
        <f>IF(X125 = 28, H125 + SUM(S125:S130) - SUM(T125:T130) - SUM(P125:P130) - V125,0)</f>
        <v>0</v>
      </c>
      <c r="J125" s="825">
        <v>235305769122</v>
      </c>
      <c r="K125" s="827" t="s">
        <v>160</v>
      </c>
      <c r="L125" s="809" t="s">
        <v>146</v>
      </c>
      <c r="M125" s="809"/>
      <c r="N125" s="210">
        <v>45322</v>
      </c>
      <c r="O125" s="818" t="s">
        <v>194</v>
      </c>
      <c r="P125" s="201">
        <v>5600</v>
      </c>
      <c r="Q125" s="202">
        <v>45330</v>
      </c>
      <c r="R125" s="203"/>
      <c r="S125" s="201"/>
      <c r="T125" s="201"/>
      <c r="U125" s="885"/>
      <c r="V125" s="812">
        <v>6590</v>
      </c>
      <c r="W125" s="908"/>
      <c r="X125" s="107">
        <v>28</v>
      </c>
    </row>
    <row r="126" spans="1:24" s="2" customFormat="1" x14ac:dyDescent="0.3">
      <c r="A126" s="816"/>
      <c r="B126" s="810"/>
      <c r="C126" s="810"/>
      <c r="D126" s="810"/>
      <c r="E126" s="810"/>
      <c r="F126" s="819"/>
      <c r="G126" s="861"/>
      <c r="H126" s="822"/>
      <c r="I126" s="824"/>
      <c r="J126" s="826"/>
      <c r="K126" s="828"/>
      <c r="L126" s="810"/>
      <c r="M126" s="810"/>
      <c r="N126" s="211">
        <v>45322</v>
      </c>
      <c r="O126" s="819"/>
      <c r="P126" s="204">
        <v>6240</v>
      </c>
      <c r="Q126" s="205">
        <v>45330</v>
      </c>
      <c r="R126" s="206"/>
      <c r="S126" s="204"/>
      <c r="T126" s="204"/>
      <c r="U126" s="886"/>
      <c r="V126" s="813"/>
      <c r="W126" s="909"/>
      <c r="X126" s="2">
        <v>28</v>
      </c>
    </row>
    <row r="127" spans="1:24" s="2" customFormat="1" x14ac:dyDescent="0.3">
      <c r="A127" s="816"/>
      <c r="B127" s="810"/>
      <c r="C127" s="810"/>
      <c r="D127" s="810"/>
      <c r="E127" s="810"/>
      <c r="F127" s="819"/>
      <c r="G127" s="861"/>
      <c r="H127" s="822"/>
      <c r="I127" s="824"/>
      <c r="J127" s="826"/>
      <c r="K127" s="828"/>
      <c r="L127" s="810"/>
      <c r="M127" s="810"/>
      <c r="N127" s="211">
        <v>45322</v>
      </c>
      <c r="O127" s="819"/>
      <c r="P127" s="204">
        <v>8060</v>
      </c>
      <c r="Q127" s="205">
        <v>45330</v>
      </c>
      <c r="R127" s="206"/>
      <c r="S127" s="204"/>
      <c r="T127" s="204"/>
      <c r="U127" s="886"/>
      <c r="V127" s="813"/>
      <c r="W127" s="909"/>
      <c r="X127" s="2">
        <v>28</v>
      </c>
    </row>
    <row r="128" spans="1:24" s="2" customFormat="1" x14ac:dyDescent="0.3">
      <c r="A128" s="816"/>
      <c r="B128" s="810"/>
      <c r="C128" s="810"/>
      <c r="D128" s="810"/>
      <c r="E128" s="810"/>
      <c r="F128" s="819"/>
      <c r="G128" s="861"/>
      <c r="H128" s="822"/>
      <c r="I128" s="824"/>
      <c r="J128" s="826"/>
      <c r="K128" s="828"/>
      <c r="L128" s="810"/>
      <c r="M128" s="810"/>
      <c r="N128" s="211">
        <v>45351</v>
      </c>
      <c r="O128" s="819"/>
      <c r="P128" s="204">
        <v>5460</v>
      </c>
      <c r="Q128" s="205">
        <v>45357</v>
      </c>
      <c r="R128" s="206"/>
      <c r="S128" s="204"/>
      <c r="T128" s="204"/>
      <c r="U128" s="886"/>
      <c r="V128" s="813"/>
      <c r="W128" s="909"/>
      <c r="X128" s="2">
        <v>28</v>
      </c>
    </row>
    <row r="129" spans="1:24" s="2" customFormat="1" x14ac:dyDescent="0.3">
      <c r="A129" s="816"/>
      <c r="B129" s="810"/>
      <c r="C129" s="810"/>
      <c r="D129" s="810"/>
      <c r="E129" s="810"/>
      <c r="F129" s="819"/>
      <c r="G129" s="861"/>
      <c r="H129" s="822"/>
      <c r="I129" s="824"/>
      <c r="J129" s="826"/>
      <c r="K129" s="828"/>
      <c r="L129" s="810"/>
      <c r="M129" s="810"/>
      <c r="N129" s="211">
        <v>45351</v>
      </c>
      <c r="O129" s="819"/>
      <c r="P129" s="204">
        <v>6240</v>
      </c>
      <c r="Q129" s="205">
        <v>45357</v>
      </c>
      <c r="R129" s="206"/>
      <c r="S129" s="204"/>
      <c r="T129" s="204"/>
      <c r="U129" s="886"/>
      <c r="V129" s="813"/>
      <c r="W129" s="909"/>
      <c r="X129" s="2">
        <v>28</v>
      </c>
    </row>
    <row r="130" spans="1:24" s="2" customFormat="1" x14ac:dyDescent="0.3">
      <c r="A130" s="816"/>
      <c r="B130" s="810"/>
      <c r="C130" s="810"/>
      <c r="D130" s="810"/>
      <c r="E130" s="810"/>
      <c r="F130" s="819"/>
      <c r="G130" s="861"/>
      <c r="H130" s="822"/>
      <c r="I130" s="824"/>
      <c r="J130" s="826"/>
      <c r="K130" s="828"/>
      <c r="L130" s="810"/>
      <c r="M130" s="810"/>
      <c r="N130" s="211">
        <v>45351</v>
      </c>
      <c r="O130" s="819"/>
      <c r="P130" s="204">
        <v>7410</v>
      </c>
      <c r="Q130" s="205">
        <v>45357</v>
      </c>
      <c r="R130" s="206"/>
      <c r="S130" s="204"/>
      <c r="T130" s="204"/>
      <c r="U130" s="886"/>
      <c r="V130" s="813"/>
      <c r="W130" s="909"/>
      <c r="X130" s="2">
        <v>28</v>
      </c>
    </row>
    <row r="131" spans="1:24" s="107" customFormat="1" ht="131.25" customHeight="1" x14ac:dyDescent="0.3">
      <c r="A131" s="815">
        <v>12</v>
      </c>
      <c r="B131" s="809" t="s">
        <v>56</v>
      </c>
      <c r="C131" s="809" t="s">
        <v>146</v>
      </c>
      <c r="D131" s="809" t="s">
        <v>147</v>
      </c>
      <c r="E131" s="809" t="s">
        <v>117</v>
      </c>
      <c r="F131" s="818">
        <v>45309</v>
      </c>
      <c r="G131" s="860" t="s">
        <v>205</v>
      </c>
      <c r="H131" s="821">
        <v>26568</v>
      </c>
      <c r="I131" s="823">
        <f>IF(X131 = 29, H131 + SUM(S131:S136) - SUM(T131:T136) - SUM(P131:P136) - V131,0)</f>
        <v>0</v>
      </c>
      <c r="J131" s="825">
        <v>2353020735</v>
      </c>
      <c r="K131" s="827" t="s">
        <v>156</v>
      </c>
      <c r="L131" s="809" t="s">
        <v>146</v>
      </c>
      <c r="M131" s="809"/>
      <c r="N131" s="210">
        <v>45322</v>
      </c>
      <c r="O131" s="818" t="s">
        <v>194</v>
      </c>
      <c r="P131" s="201">
        <v>5487</v>
      </c>
      <c r="Q131" s="202">
        <v>45334</v>
      </c>
      <c r="R131" s="203"/>
      <c r="S131" s="201"/>
      <c r="T131" s="201"/>
      <c r="U131" s="885" t="s">
        <v>279</v>
      </c>
      <c r="V131" s="812">
        <v>6765</v>
      </c>
      <c r="W131" s="908"/>
      <c r="X131" s="107">
        <v>29</v>
      </c>
    </row>
    <row r="132" spans="1:24" s="2" customFormat="1" x14ac:dyDescent="0.3">
      <c r="A132" s="816"/>
      <c r="B132" s="810"/>
      <c r="C132" s="810"/>
      <c r="D132" s="810"/>
      <c r="E132" s="810"/>
      <c r="F132" s="819"/>
      <c r="G132" s="861"/>
      <c r="H132" s="822"/>
      <c r="I132" s="824"/>
      <c r="J132" s="826"/>
      <c r="K132" s="828"/>
      <c r="L132" s="810"/>
      <c r="M132" s="810"/>
      <c r="N132" s="211">
        <v>45322</v>
      </c>
      <c r="O132" s="819"/>
      <c r="P132" s="204">
        <v>1770</v>
      </c>
      <c r="Q132" s="205">
        <v>45334</v>
      </c>
      <c r="R132" s="206"/>
      <c r="S132" s="204"/>
      <c r="T132" s="204"/>
      <c r="U132" s="886"/>
      <c r="V132" s="813"/>
      <c r="W132" s="909"/>
      <c r="X132" s="2">
        <v>29</v>
      </c>
    </row>
    <row r="133" spans="1:24" s="2" customFormat="1" x14ac:dyDescent="0.3">
      <c r="A133" s="816"/>
      <c r="B133" s="810"/>
      <c r="C133" s="810"/>
      <c r="D133" s="810"/>
      <c r="E133" s="810"/>
      <c r="F133" s="819"/>
      <c r="G133" s="861"/>
      <c r="H133" s="822"/>
      <c r="I133" s="824"/>
      <c r="J133" s="826"/>
      <c r="K133" s="828"/>
      <c r="L133" s="810"/>
      <c r="M133" s="810"/>
      <c r="N133" s="211">
        <v>45351</v>
      </c>
      <c r="O133" s="819"/>
      <c r="P133" s="204">
        <v>5394</v>
      </c>
      <c r="Q133" s="205">
        <v>45364</v>
      </c>
      <c r="R133" s="206"/>
      <c r="S133" s="204"/>
      <c r="T133" s="204"/>
      <c r="U133" s="886"/>
      <c r="V133" s="813"/>
      <c r="W133" s="909"/>
      <c r="X133" s="2">
        <v>29</v>
      </c>
    </row>
    <row r="134" spans="1:24" s="2" customFormat="1" x14ac:dyDescent="0.3">
      <c r="A134" s="816"/>
      <c r="B134" s="810"/>
      <c r="C134" s="810"/>
      <c r="D134" s="810"/>
      <c r="E134" s="810"/>
      <c r="F134" s="819"/>
      <c r="G134" s="861"/>
      <c r="H134" s="822"/>
      <c r="I134" s="824"/>
      <c r="J134" s="826"/>
      <c r="K134" s="828"/>
      <c r="L134" s="810"/>
      <c r="M134" s="810"/>
      <c r="N134" s="211">
        <v>45351</v>
      </c>
      <c r="O134" s="819"/>
      <c r="P134" s="204">
        <v>1740</v>
      </c>
      <c r="Q134" s="205">
        <v>45364</v>
      </c>
      <c r="R134" s="206"/>
      <c r="S134" s="204"/>
      <c r="T134" s="204"/>
      <c r="U134" s="886"/>
      <c r="V134" s="813"/>
      <c r="W134" s="909"/>
      <c r="X134" s="2">
        <v>29</v>
      </c>
    </row>
    <row r="135" spans="1:24" s="2" customFormat="1" x14ac:dyDescent="0.3">
      <c r="A135" s="816"/>
      <c r="B135" s="810"/>
      <c r="C135" s="810"/>
      <c r="D135" s="810"/>
      <c r="E135" s="810"/>
      <c r="F135" s="819"/>
      <c r="G135" s="861"/>
      <c r="H135" s="822"/>
      <c r="I135" s="824"/>
      <c r="J135" s="826"/>
      <c r="K135" s="828"/>
      <c r="L135" s="810"/>
      <c r="M135" s="810"/>
      <c r="N135" s="211">
        <v>45382</v>
      </c>
      <c r="O135" s="819"/>
      <c r="P135" s="204">
        <v>4092</v>
      </c>
      <c r="Q135" s="205">
        <v>45387</v>
      </c>
      <c r="R135" s="206"/>
      <c r="S135" s="204"/>
      <c r="T135" s="204"/>
      <c r="U135" s="886"/>
      <c r="V135" s="813"/>
      <c r="W135" s="909"/>
      <c r="X135" s="2">
        <v>29</v>
      </c>
    </row>
    <row r="136" spans="1:24" s="2" customFormat="1" x14ac:dyDescent="0.3">
      <c r="A136" s="817"/>
      <c r="B136" s="811"/>
      <c r="C136" s="811"/>
      <c r="D136" s="811"/>
      <c r="E136" s="811"/>
      <c r="F136" s="820"/>
      <c r="G136" s="862"/>
      <c r="H136" s="911"/>
      <c r="I136" s="887"/>
      <c r="J136" s="888"/>
      <c r="K136" s="863"/>
      <c r="L136" s="811"/>
      <c r="M136" s="811"/>
      <c r="N136" s="212">
        <v>45382</v>
      </c>
      <c r="O136" s="820"/>
      <c r="P136" s="207">
        <v>1320</v>
      </c>
      <c r="Q136" s="208">
        <v>45387</v>
      </c>
      <c r="R136" s="209"/>
      <c r="S136" s="207"/>
      <c r="T136" s="207"/>
      <c r="U136" s="907"/>
      <c r="V136" s="814"/>
      <c r="W136" s="910"/>
      <c r="X136" s="2">
        <v>29</v>
      </c>
    </row>
    <row r="137" spans="1:24" s="107" customFormat="1" ht="108" x14ac:dyDescent="0.3">
      <c r="A137" s="110">
        <v>13</v>
      </c>
      <c r="B137" s="111" t="s">
        <v>56</v>
      </c>
      <c r="C137" s="111" t="s">
        <v>146</v>
      </c>
      <c r="D137" s="111" t="s">
        <v>147</v>
      </c>
      <c r="E137" s="111" t="s">
        <v>211</v>
      </c>
      <c r="F137" s="119">
        <v>45316</v>
      </c>
      <c r="G137" s="112" t="s">
        <v>181</v>
      </c>
      <c r="H137" s="543">
        <v>72800</v>
      </c>
      <c r="I137" s="114">
        <f>IF(X137 = 30, H137 + SUM(S137:S137) - SUM(T137:T137) - SUM(P137:P137) - V137,0)</f>
        <v>0</v>
      </c>
      <c r="J137" s="115">
        <v>235303782209</v>
      </c>
      <c r="K137" s="116" t="s">
        <v>209</v>
      </c>
      <c r="L137" s="111" t="s">
        <v>146</v>
      </c>
      <c r="M137" s="111"/>
      <c r="N137" s="119"/>
      <c r="O137" s="119" t="s">
        <v>194</v>
      </c>
      <c r="P137" s="113">
        <v>72800</v>
      </c>
      <c r="Q137" s="112">
        <v>45327</v>
      </c>
      <c r="R137" s="111"/>
      <c r="S137" s="113"/>
      <c r="T137" s="113"/>
      <c r="U137" s="113"/>
      <c r="V137" s="117"/>
      <c r="W137" s="118"/>
      <c r="X137" s="107">
        <v>30</v>
      </c>
    </row>
    <row r="138" spans="1:24" s="107" customFormat="1" ht="108" customHeight="1" x14ac:dyDescent="0.3">
      <c r="A138" s="803">
        <v>14</v>
      </c>
      <c r="B138" s="806" t="s">
        <v>56</v>
      </c>
      <c r="C138" s="806" t="s">
        <v>163</v>
      </c>
      <c r="D138" s="806" t="s">
        <v>147</v>
      </c>
      <c r="E138" s="806" t="s">
        <v>221</v>
      </c>
      <c r="F138" s="927">
        <v>45351</v>
      </c>
      <c r="G138" s="930" t="s">
        <v>225</v>
      </c>
      <c r="H138" s="933">
        <v>561150</v>
      </c>
      <c r="I138" s="924">
        <f>IF(X138 = 31, H138 + SUM(S138:S143) - SUM(T138:T143) - SUM(P138:P143) - V138,0)</f>
        <v>-2.9103830456733704E-11</v>
      </c>
      <c r="J138" s="936">
        <v>2310195709</v>
      </c>
      <c r="K138" s="912" t="s">
        <v>226</v>
      </c>
      <c r="L138" s="806" t="s">
        <v>146</v>
      </c>
      <c r="M138" s="806"/>
      <c r="N138" s="355">
        <v>45382</v>
      </c>
      <c r="O138" s="927" t="s">
        <v>194</v>
      </c>
      <c r="P138" s="346">
        <v>87825.15</v>
      </c>
      <c r="Q138" s="347">
        <v>45387</v>
      </c>
      <c r="R138" s="348"/>
      <c r="S138" s="346"/>
      <c r="T138" s="346"/>
      <c r="U138" s="918" t="s">
        <v>409</v>
      </c>
      <c r="V138" s="921">
        <v>143654.35</v>
      </c>
      <c r="W138" s="915"/>
      <c r="X138" s="107">
        <v>31</v>
      </c>
    </row>
    <row r="139" spans="1:24" s="2" customFormat="1" x14ac:dyDescent="0.3">
      <c r="A139" s="804"/>
      <c r="B139" s="807"/>
      <c r="C139" s="807"/>
      <c r="D139" s="807"/>
      <c r="E139" s="807"/>
      <c r="F139" s="928"/>
      <c r="G139" s="931"/>
      <c r="H139" s="934"/>
      <c r="I139" s="925"/>
      <c r="J139" s="937"/>
      <c r="K139" s="913"/>
      <c r="L139" s="807"/>
      <c r="M139" s="807"/>
      <c r="N139" s="356">
        <v>45412</v>
      </c>
      <c r="O139" s="928"/>
      <c r="P139" s="349">
        <v>111025.60000000001</v>
      </c>
      <c r="Q139" s="350">
        <v>45420</v>
      </c>
      <c r="R139" s="351"/>
      <c r="S139" s="349"/>
      <c r="T139" s="349"/>
      <c r="U139" s="919"/>
      <c r="V139" s="922"/>
      <c r="W139" s="916"/>
      <c r="X139" s="2">
        <v>31</v>
      </c>
    </row>
    <row r="140" spans="1:24" s="2" customFormat="1" x14ac:dyDescent="0.3">
      <c r="A140" s="804"/>
      <c r="B140" s="807"/>
      <c r="C140" s="807"/>
      <c r="D140" s="807"/>
      <c r="E140" s="807"/>
      <c r="F140" s="928"/>
      <c r="G140" s="931"/>
      <c r="H140" s="934"/>
      <c r="I140" s="925"/>
      <c r="J140" s="937"/>
      <c r="K140" s="913"/>
      <c r="L140" s="807"/>
      <c r="M140" s="807"/>
      <c r="N140" s="356">
        <v>45443</v>
      </c>
      <c r="O140" s="928"/>
      <c r="P140" s="349">
        <v>104614</v>
      </c>
      <c r="Q140" s="350">
        <v>45454</v>
      </c>
      <c r="R140" s="351"/>
      <c r="S140" s="349"/>
      <c r="T140" s="349"/>
      <c r="U140" s="919"/>
      <c r="V140" s="922"/>
      <c r="W140" s="916"/>
      <c r="X140" s="2">
        <v>31</v>
      </c>
    </row>
    <row r="141" spans="1:24" s="2" customFormat="1" x14ac:dyDescent="0.3">
      <c r="A141" s="804"/>
      <c r="B141" s="807"/>
      <c r="C141" s="807"/>
      <c r="D141" s="807"/>
      <c r="E141" s="807"/>
      <c r="F141" s="928"/>
      <c r="G141" s="931"/>
      <c r="H141" s="934"/>
      <c r="I141" s="925"/>
      <c r="J141" s="937"/>
      <c r="K141" s="913"/>
      <c r="L141" s="807"/>
      <c r="M141" s="807"/>
      <c r="N141" s="356">
        <v>45473</v>
      </c>
      <c r="O141" s="928"/>
      <c r="P141" s="349">
        <v>68094.899999999994</v>
      </c>
      <c r="Q141" s="350">
        <v>45481</v>
      </c>
      <c r="R141" s="351"/>
      <c r="S141" s="349"/>
      <c r="T141" s="349"/>
      <c r="U141" s="919"/>
      <c r="V141" s="922"/>
      <c r="W141" s="916"/>
      <c r="X141" s="2">
        <v>31</v>
      </c>
    </row>
    <row r="142" spans="1:24" s="2" customFormat="1" x14ac:dyDescent="0.3">
      <c r="A142" s="804"/>
      <c r="B142" s="807"/>
      <c r="C142" s="807"/>
      <c r="D142" s="807"/>
      <c r="E142" s="807"/>
      <c r="F142" s="928"/>
      <c r="G142" s="931"/>
      <c r="H142" s="934"/>
      <c r="I142" s="925"/>
      <c r="J142" s="937"/>
      <c r="K142" s="913"/>
      <c r="L142" s="807"/>
      <c r="M142" s="807"/>
      <c r="N142" s="356">
        <v>45504</v>
      </c>
      <c r="O142" s="928"/>
      <c r="P142" s="349">
        <v>20358</v>
      </c>
      <c r="Q142" s="350">
        <v>45511</v>
      </c>
      <c r="R142" s="351"/>
      <c r="S142" s="349"/>
      <c r="T142" s="349"/>
      <c r="U142" s="919"/>
      <c r="V142" s="922"/>
      <c r="W142" s="916"/>
      <c r="X142" s="2">
        <v>31</v>
      </c>
    </row>
    <row r="143" spans="1:24" s="2" customFormat="1" x14ac:dyDescent="0.3">
      <c r="A143" s="805"/>
      <c r="B143" s="808"/>
      <c r="C143" s="808"/>
      <c r="D143" s="808"/>
      <c r="E143" s="808"/>
      <c r="F143" s="929"/>
      <c r="G143" s="932"/>
      <c r="H143" s="935"/>
      <c r="I143" s="926"/>
      <c r="J143" s="938"/>
      <c r="K143" s="914"/>
      <c r="L143" s="808"/>
      <c r="M143" s="808"/>
      <c r="N143" s="357">
        <v>45535</v>
      </c>
      <c r="O143" s="929"/>
      <c r="P143" s="352">
        <v>25578</v>
      </c>
      <c r="Q143" s="353">
        <v>45544</v>
      </c>
      <c r="R143" s="354"/>
      <c r="S143" s="352"/>
      <c r="T143" s="352"/>
      <c r="U143" s="920"/>
      <c r="V143" s="923"/>
      <c r="W143" s="917"/>
      <c r="X143" s="2">
        <v>31</v>
      </c>
    </row>
    <row r="144" spans="1:24" s="107" customFormat="1" ht="108" customHeight="1" x14ac:dyDescent="0.3">
      <c r="A144" s="702">
        <v>15</v>
      </c>
      <c r="B144" s="662" t="s">
        <v>56</v>
      </c>
      <c r="C144" s="662" t="s">
        <v>146</v>
      </c>
      <c r="D144" s="662" t="s">
        <v>147</v>
      </c>
      <c r="E144" s="662" t="s">
        <v>227</v>
      </c>
      <c r="F144" s="656">
        <v>45289</v>
      </c>
      <c r="G144" s="967" t="s">
        <v>228</v>
      </c>
      <c r="H144" s="726">
        <v>26827.32</v>
      </c>
      <c r="I144" s="728">
        <f>IF(X144 = 32, H144 + SUM(S144:S147) - SUM(T144:T147) - SUM(P144:P147) - V144,0)</f>
        <v>0</v>
      </c>
      <c r="J144" s="889">
        <v>2353018870</v>
      </c>
      <c r="K144" s="892" t="s">
        <v>229</v>
      </c>
      <c r="L144" s="662" t="s">
        <v>146</v>
      </c>
      <c r="M144" s="662"/>
      <c r="N144" s="522">
        <v>45376</v>
      </c>
      <c r="O144" s="656" t="s">
        <v>194</v>
      </c>
      <c r="P144" s="513">
        <v>6706.83</v>
      </c>
      <c r="Q144" s="514">
        <v>45379</v>
      </c>
      <c r="R144" s="515"/>
      <c r="S144" s="513"/>
      <c r="T144" s="513"/>
      <c r="U144" s="659"/>
      <c r="V144" s="939"/>
      <c r="W144" s="668"/>
      <c r="X144" s="107">
        <v>32</v>
      </c>
    </row>
    <row r="145" spans="1:24" s="2" customFormat="1" x14ac:dyDescent="0.3">
      <c r="A145" s="703"/>
      <c r="B145" s="663"/>
      <c r="C145" s="663"/>
      <c r="D145" s="663"/>
      <c r="E145" s="663"/>
      <c r="F145" s="657"/>
      <c r="G145" s="968"/>
      <c r="H145" s="735"/>
      <c r="I145" s="736"/>
      <c r="J145" s="890"/>
      <c r="K145" s="893"/>
      <c r="L145" s="663"/>
      <c r="M145" s="663"/>
      <c r="N145" s="523">
        <v>45471</v>
      </c>
      <c r="O145" s="657"/>
      <c r="P145" s="516">
        <v>6706.83</v>
      </c>
      <c r="Q145" s="517">
        <v>45475</v>
      </c>
      <c r="R145" s="518"/>
      <c r="S145" s="516"/>
      <c r="T145" s="516"/>
      <c r="U145" s="660"/>
      <c r="V145" s="940"/>
      <c r="W145" s="669"/>
      <c r="X145" s="2">
        <v>32</v>
      </c>
    </row>
    <row r="146" spans="1:24" s="2" customFormat="1" x14ac:dyDescent="0.3">
      <c r="A146" s="703"/>
      <c r="B146" s="663"/>
      <c r="C146" s="663"/>
      <c r="D146" s="663"/>
      <c r="E146" s="663"/>
      <c r="F146" s="657"/>
      <c r="G146" s="968"/>
      <c r="H146" s="735"/>
      <c r="I146" s="736"/>
      <c r="J146" s="890"/>
      <c r="K146" s="893"/>
      <c r="L146" s="663"/>
      <c r="M146" s="663"/>
      <c r="N146" s="523">
        <v>45565</v>
      </c>
      <c r="O146" s="657"/>
      <c r="P146" s="516">
        <v>6706.83</v>
      </c>
      <c r="Q146" s="517">
        <v>45569</v>
      </c>
      <c r="R146" s="518"/>
      <c r="S146" s="516"/>
      <c r="T146" s="516"/>
      <c r="U146" s="660"/>
      <c r="V146" s="940"/>
      <c r="W146" s="669"/>
      <c r="X146" s="2">
        <v>32</v>
      </c>
    </row>
    <row r="147" spans="1:24" s="2" customFormat="1" x14ac:dyDescent="0.3">
      <c r="A147" s="704"/>
      <c r="B147" s="664"/>
      <c r="C147" s="664"/>
      <c r="D147" s="664"/>
      <c r="E147" s="664"/>
      <c r="F147" s="658"/>
      <c r="G147" s="969"/>
      <c r="H147" s="727"/>
      <c r="I147" s="729"/>
      <c r="J147" s="891"/>
      <c r="K147" s="894"/>
      <c r="L147" s="664"/>
      <c r="M147" s="664"/>
      <c r="N147" s="524">
        <v>45646</v>
      </c>
      <c r="O147" s="658"/>
      <c r="P147" s="519">
        <v>6706.83</v>
      </c>
      <c r="Q147" s="520">
        <v>45646</v>
      </c>
      <c r="R147" s="521"/>
      <c r="S147" s="519"/>
      <c r="T147" s="519"/>
      <c r="U147" s="661"/>
      <c r="V147" s="941"/>
      <c r="W147" s="670"/>
      <c r="X147" s="2">
        <v>32</v>
      </c>
    </row>
    <row r="148" spans="1:24" s="107" customFormat="1" ht="162" customHeight="1" x14ac:dyDescent="0.3">
      <c r="A148" s="803">
        <v>16</v>
      </c>
      <c r="B148" s="806" t="s">
        <v>56</v>
      </c>
      <c r="C148" s="806" t="s">
        <v>146</v>
      </c>
      <c r="D148" s="806" t="s">
        <v>147</v>
      </c>
      <c r="E148" s="806" t="s">
        <v>230</v>
      </c>
      <c r="F148" s="927">
        <v>45351</v>
      </c>
      <c r="G148" s="930" t="s">
        <v>204</v>
      </c>
      <c r="H148" s="933">
        <v>97850</v>
      </c>
      <c r="I148" s="924">
        <f>IF(X148 = 33, H148 + SUM(S148:S165) - SUM(T148:T165) - SUM(P148:P165) - V148,0)</f>
        <v>0</v>
      </c>
      <c r="J148" s="936">
        <v>235305769122</v>
      </c>
      <c r="K148" s="912" t="s">
        <v>160</v>
      </c>
      <c r="L148" s="806" t="s">
        <v>146</v>
      </c>
      <c r="M148" s="806"/>
      <c r="N148" s="355">
        <v>45382</v>
      </c>
      <c r="O148" s="927" t="s">
        <v>194</v>
      </c>
      <c r="P148" s="358">
        <v>5320</v>
      </c>
      <c r="Q148" s="359">
        <v>45387</v>
      </c>
      <c r="R148" s="348"/>
      <c r="S148" s="346"/>
      <c r="T148" s="346"/>
      <c r="U148" s="918"/>
      <c r="V148" s="921"/>
      <c r="W148" s="915"/>
      <c r="X148" s="107">
        <v>33</v>
      </c>
    </row>
    <row r="149" spans="1:24" s="2" customFormat="1" x14ac:dyDescent="0.3">
      <c r="A149" s="804"/>
      <c r="B149" s="807"/>
      <c r="C149" s="807"/>
      <c r="D149" s="807"/>
      <c r="E149" s="807"/>
      <c r="F149" s="928"/>
      <c r="G149" s="931"/>
      <c r="H149" s="934"/>
      <c r="I149" s="925"/>
      <c r="J149" s="937"/>
      <c r="K149" s="913"/>
      <c r="L149" s="807"/>
      <c r="M149" s="807"/>
      <c r="N149" s="356">
        <v>45382</v>
      </c>
      <c r="O149" s="928"/>
      <c r="P149" s="349">
        <v>6080</v>
      </c>
      <c r="Q149" s="350">
        <v>45387</v>
      </c>
      <c r="R149" s="351"/>
      <c r="S149" s="349"/>
      <c r="T149" s="349"/>
      <c r="U149" s="919"/>
      <c r="V149" s="922"/>
      <c r="W149" s="916"/>
      <c r="X149" s="2">
        <v>33</v>
      </c>
    </row>
    <row r="150" spans="1:24" s="2" customFormat="1" x14ac:dyDescent="0.3">
      <c r="A150" s="804"/>
      <c r="B150" s="807"/>
      <c r="C150" s="807"/>
      <c r="D150" s="807"/>
      <c r="E150" s="807"/>
      <c r="F150" s="928"/>
      <c r="G150" s="931"/>
      <c r="H150" s="934"/>
      <c r="I150" s="925"/>
      <c r="J150" s="937"/>
      <c r="K150" s="913"/>
      <c r="L150" s="807"/>
      <c r="M150" s="807"/>
      <c r="N150" s="356">
        <v>45382</v>
      </c>
      <c r="O150" s="928"/>
      <c r="P150" s="349">
        <v>7670</v>
      </c>
      <c r="Q150" s="350">
        <v>45387</v>
      </c>
      <c r="R150" s="351"/>
      <c r="S150" s="349"/>
      <c r="T150" s="349"/>
      <c r="U150" s="919"/>
      <c r="V150" s="922"/>
      <c r="W150" s="916"/>
      <c r="X150" s="2">
        <v>33</v>
      </c>
    </row>
    <row r="151" spans="1:24" s="2" customFormat="1" x14ac:dyDescent="0.3">
      <c r="A151" s="804"/>
      <c r="B151" s="807"/>
      <c r="C151" s="807"/>
      <c r="D151" s="807"/>
      <c r="E151" s="807"/>
      <c r="F151" s="928"/>
      <c r="G151" s="931"/>
      <c r="H151" s="934"/>
      <c r="I151" s="925"/>
      <c r="J151" s="937"/>
      <c r="K151" s="913"/>
      <c r="L151" s="807"/>
      <c r="M151" s="807"/>
      <c r="N151" s="356">
        <v>45412</v>
      </c>
      <c r="O151" s="928"/>
      <c r="P151" s="349">
        <v>6300</v>
      </c>
      <c r="Q151" s="350">
        <v>45418</v>
      </c>
      <c r="R151" s="351"/>
      <c r="S151" s="349"/>
      <c r="T151" s="349"/>
      <c r="U151" s="919"/>
      <c r="V151" s="922"/>
      <c r="W151" s="916"/>
      <c r="X151" s="2">
        <v>33</v>
      </c>
    </row>
    <row r="152" spans="1:24" s="2" customFormat="1" x14ac:dyDescent="0.3">
      <c r="A152" s="804"/>
      <c r="B152" s="807"/>
      <c r="C152" s="807"/>
      <c r="D152" s="807"/>
      <c r="E152" s="807"/>
      <c r="F152" s="928"/>
      <c r="G152" s="931"/>
      <c r="H152" s="934"/>
      <c r="I152" s="925"/>
      <c r="J152" s="937"/>
      <c r="K152" s="913"/>
      <c r="L152" s="807"/>
      <c r="M152" s="807"/>
      <c r="N152" s="356">
        <v>45412</v>
      </c>
      <c r="O152" s="928"/>
      <c r="P152" s="349">
        <v>7200</v>
      </c>
      <c r="Q152" s="350">
        <v>45418</v>
      </c>
      <c r="R152" s="351"/>
      <c r="S152" s="349"/>
      <c r="T152" s="349"/>
      <c r="U152" s="919"/>
      <c r="V152" s="922"/>
      <c r="W152" s="916"/>
      <c r="X152" s="2">
        <v>33</v>
      </c>
    </row>
    <row r="153" spans="1:24" s="2" customFormat="1" x14ac:dyDescent="0.3">
      <c r="A153" s="804"/>
      <c r="B153" s="807"/>
      <c r="C153" s="807"/>
      <c r="D153" s="807"/>
      <c r="E153" s="807"/>
      <c r="F153" s="928"/>
      <c r="G153" s="931"/>
      <c r="H153" s="934"/>
      <c r="I153" s="925"/>
      <c r="J153" s="937"/>
      <c r="K153" s="913"/>
      <c r="L153" s="807"/>
      <c r="M153" s="807"/>
      <c r="N153" s="356">
        <v>45412</v>
      </c>
      <c r="O153" s="928"/>
      <c r="P153" s="349">
        <v>7800</v>
      </c>
      <c r="Q153" s="350">
        <v>45418</v>
      </c>
      <c r="R153" s="351"/>
      <c r="S153" s="349"/>
      <c r="T153" s="349"/>
      <c r="U153" s="919"/>
      <c r="V153" s="922"/>
      <c r="W153" s="916"/>
      <c r="X153" s="2">
        <v>33</v>
      </c>
    </row>
    <row r="154" spans="1:24" s="2" customFormat="1" x14ac:dyDescent="0.3">
      <c r="A154" s="804"/>
      <c r="B154" s="807"/>
      <c r="C154" s="807"/>
      <c r="D154" s="807"/>
      <c r="E154" s="807"/>
      <c r="F154" s="928"/>
      <c r="G154" s="931"/>
      <c r="H154" s="934"/>
      <c r="I154" s="925"/>
      <c r="J154" s="937"/>
      <c r="K154" s="913"/>
      <c r="L154" s="807"/>
      <c r="M154" s="807"/>
      <c r="N154" s="356">
        <v>45443</v>
      </c>
      <c r="O154" s="928"/>
      <c r="P154" s="349">
        <v>5040</v>
      </c>
      <c r="Q154" s="350">
        <v>45454</v>
      </c>
      <c r="R154" s="351"/>
      <c r="S154" s="349"/>
      <c r="T154" s="349"/>
      <c r="U154" s="919"/>
      <c r="V154" s="922"/>
      <c r="W154" s="916"/>
      <c r="X154" s="2">
        <v>33</v>
      </c>
    </row>
    <row r="155" spans="1:24" s="2" customFormat="1" x14ac:dyDescent="0.3">
      <c r="A155" s="804"/>
      <c r="B155" s="807"/>
      <c r="C155" s="807"/>
      <c r="D155" s="807"/>
      <c r="E155" s="807"/>
      <c r="F155" s="928"/>
      <c r="G155" s="931"/>
      <c r="H155" s="934"/>
      <c r="I155" s="925"/>
      <c r="J155" s="937"/>
      <c r="K155" s="913"/>
      <c r="L155" s="807"/>
      <c r="M155" s="807"/>
      <c r="N155" s="356">
        <v>45443</v>
      </c>
      <c r="O155" s="928"/>
      <c r="P155" s="349">
        <v>5760</v>
      </c>
      <c r="Q155" s="350">
        <v>45454</v>
      </c>
      <c r="R155" s="351"/>
      <c r="S155" s="349"/>
      <c r="T155" s="349"/>
      <c r="U155" s="919"/>
      <c r="V155" s="922"/>
      <c r="W155" s="916"/>
      <c r="X155" s="2">
        <v>33</v>
      </c>
    </row>
    <row r="156" spans="1:24" s="2" customFormat="1" x14ac:dyDescent="0.3">
      <c r="A156" s="804"/>
      <c r="B156" s="807"/>
      <c r="C156" s="807"/>
      <c r="D156" s="807"/>
      <c r="E156" s="807"/>
      <c r="F156" s="928"/>
      <c r="G156" s="931"/>
      <c r="H156" s="934"/>
      <c r="I156" s="925"/>
      <c r="J156" s="937"/>
      <c r="K156" s="913"/>
      <c r="L156" s="807"/>
      <c r="M156" s="807"/>
      <c r="N156" s="356">
        <v>45443</v>
      </c>
      <c r="O156" s="928"/>
      <c r="P156" s="349">
        <v>8060</v>
      </c>
      <c r="Q156" s="350">
        <v>45454</v>
      </c>
      <c r="R156" s="351"/>
      <c r="S156" s="349"/>
      <c r="T156" s="349"/>
      <c r="U156" s="919"/>
      <c r="V156" s="922"/>
      <c r="W156" s="916"/>
      <c r="X156" s="2">
        <v>33</v>
      </c>
    </row>
    <row r="157" spans="1:24" s="2" customFormat="1" x14ac:dyDescent="0.3">
      <c r="A157" s="804"/>
      <c r="B157" s="807"/>
      <c r="C157" s="807"/>
      <c r="D157" s="807"/>
      <c r="E157" s="807"/>
      <c r="F157" s="928"/>
      <c r="G157" s="931"/>
      <c r="H157" s="934"/>
      <c r="I157" s="925"/>
      <c r="J157" s="937"/>
      <c r="K157" s="913"/>
      <c r="L157" s="807"/>
      <c r="M157" s="807"/>
      <c r="N157" s="356">
        <v>45473</v>
      </c>
      <c r="O157" s="928"/>
      <c r="P157" s="349">
        <v>3780</v>
      </c>
      <c r="Q157" s="350">
        <v>45481</v>
      </c>
      <c r="R157" s="351"/>
      <c r="S157" s="349"/>
      <c r="T157" s="349"/>
      <c r="U157" s="919"/>
      <c r="V157" s="922"/>
      <c r="W157" s="916"/>
      <c r="X157" s="2">
        <v>33</v>
      </c>
    </row>
    <row r="158" spans="1:24" s="2" customFormat="1" x14ac:dyDescent="0.3">
      <c r="A158" s="804"/>
      <c r="B158" s="807"/>
      <c r="C158" s="807"/>
      <c r="D158" s="807"/>
      <c r="E158" s="807"/>
      <c r="F158" s="928"/>
      <c r="G158" s="931"/>
      <c r="H158" s="934"/>
      <c r="I158" s="925"/>
      <c r="J158" s="937"/>
      <c r="K158" s="913"/>
      <c r="L158" s="807"/>
      <c r="M158" s="807"/>
      <c r="N158" s="356">
        <v>45473</v>
      </c>
      <c r="O158" s="928"/>
      <c r="P158" s="349">
        <v>4320</v>
      </c>
      <c r="Q158" s="350">
        <v>45481</v>
      </c>
      <c r="R158" s="351"/>
      <c r="S158" s="349"/>
      <c r="T158" s="349"/>
      <c r="U158" s="919"/>
      <c r="V158" s="922"/>
      <c r="W158" s="916"/>
      <c r="X158" s="2">
        <v>33</v>
      </c>
    </row>
    <row r="159" spans="1:24" s="2" customFormat="1" x14ac:dyDescent="0.3">
      <c r="A159" s="804"/>
      <c r="B159" s="807"/>
      <c r="C159" s="807"/>
      <c r="D159" s="807"/>
      <c r="E159" s="807"/>
      <c r="F159" s="928"/>
      <c r="G159" s="931"/>
      <c r="H159" s="934"/>
      <c r="I159" s="925"/>
      <c r="J159" s="937"/>
      <c r="K159" s="913"/>
      <c r="L159" s="807"/>
      <c r="M159" s="807"/>
      <c r="N159" s="356">
        <v>45473</v>
      </c>
      <c r="O159" s="928"/>
      <c r="P159" s="349">
        <v>7800</v>
      </c>
      <c r="Q159" s="350">
        <v>45481</v>
      </c>
      <c r="R159" s="351"/>
      <c r="S159" s="349"/>
      <c r="T159" s="349"/>
      <c r="U159" s="919"/>
      <c r="V159" s="922"/>
      <c r="W159" s="916"/>
      <c r="X159" s="2">
        <v>33</v>
      </c>
    </row>
    <row r="160" spans="1:24" s="2" customFormat="1" x14ac:dyDescent="0.3">
      <c r="A160" s="804"/>
      <c r="B160" s="807"/>
      <c r="C160" s="807"/>
      <c r="D160" s="807"/>
      <c r="E160" s="807"/>
      <c r="F160" s="928"/>
      <c r="G160" s="931"/>
      <c r="H160" s="934"/>
      <c r="I160" s="925"/>
      <c r="J160" s="937"/>
      <c r="K160" s="913"/>
      <c r="L160" s="807"/>
      <c r="M160" s="807"/>
      <c r="N160" s="356">
        <v>45504</v>
      </c>
      <c r="O160" s="928"/>
      <c r="P160" s="349">
        <v>1540</v>
      </c>
      <c r="Q160" s="350">
        <v>45512</v>
      </c>
      <c r="R160" s="351"/>
      <c r="S160" s="349"/>
      <c r="T160" s="349"/>
      <c r="U160" s="919"/>
      <c r="V160" s="922"/>
      <c r="W160" s="916"/>
      <c r="X160" s="2">
        <v>33</v>
      </c>
    </row>
    <row r="161" spans="1:24" s="2" customFormat="1" x14ac:dyDescent="0.3">
      <c r="A161" s="804"/>
      <c r="B161" s="807"/>
      <c r="C161" s="807"/>
      <c r="D161" s="807"/>
      <c r="E161" s="807"/>
      <c r="F161" s="928"/>
      <c r="G161" s="931"/>
      <c r="H161" s="934"/>
      <c r="I161" s="925"/>
      <c r="J161" s="937"/>
      <c r="K161" s="913"/>
      <c r="L161" s="807"/>
      <c r="M161" s="807"/>
      <c r="N161" s="356">
        <v>45504</v>
      </c>
      <c r="O161" s="928"/>
      <c r="P161" s="349">
        <v>1760</v>
      </c>
      <c r="Q161" s="350">
        <v>45512</v>
      </c>
      <c r="R161" s="351"/>
      <c r="S161" s="349"/>
      <c r="T161" s="349"/>
      <c r="U161" s="919"/>
      <c r="V161" s="922"/>
      <c r="W161" s="916"/>
      <c r="X161" s="2">
        <v>33</v>
      </c>
    </row>
    <row r="162" spans="1:24" s="2" customFormat="1" x14ac:dyDescent="0.3">
      <c r="A162" s="804"/>
      <c r="B162" s="807"/>
      <c r="C162" s="807"/>
      <c r="D162" s="807"/>
      <c r="E162" s="807"/>
      <c r="F162" s="928"/>
      <c r="G162" s="931"/>
      <c r="H162" s="934"/>
      <c r="I162" s="925"/>
      <c r="J162" s="937"/>
      <c r="K162" s="913"/>
      <c r="L162" s="807"/>
      <c r="M162" s="807"/>
      <c r="N162" s="356">
        <v>45504</v>
      </c>
      <c r="O162" s="928"/>
      <c r="P162" s="349">
        <v>8060</v>
      </c>
      <c r="Q162" s="350">
        <v>45512</v>
      </c>
      <c r="R162" s="351"/>
      <c r="S162" s="349"/>
      <c r="T162" s="349"/>
      <c r="U162" s="919"/>
      <c r="V162" s="922"/>
      <c r="W162" s="916"/>
      <c r="X162" s="2">
        <v>33</v>
      </c>
    </row>
    <row r="163" spans="1:24" s="2" customFormat="1" x14ac:dyDescent="0.3">
      <c r="A163" s="804"/>
      <c r="B163" s="807"/>
      <c r="C163" s="807"/>
      <c r="D163" s="807"/>
      <c r="E163" s="807"/>
      <c r="F163" s="928"/>
      <c r="G163" s="931"/>
      <c r="H163" s="934"/>
      <c r="I163" s="925"/>
      <c r="J163" s="937"/>
      <c r="K163" s="913"/>
      <c r="L163" s="807"/>
      <c r="M163" s="807"/>
      <c r="N163" s="356">
        <v>45535</v>
      </c>
      <c r="O163" s="928"/>
      <c r="P163" s="349">
        <v>1540</v>
      </c>
      <c r="Q163" s="350">
        <v>45545</v>
      </c>
      <c r="R163" s="351"/>
      <c r="S163" s="349"/>
      <c r="T163" s="349"/>
      <c r="U163" s="919"/>
      <c r="V163" s="922"/>
      <c r="W163" s="916"/>
      <c r="X163" s="2">
        <v>33</v>
      </c>
    </row>
    <row r="164" spans="1:24" s="2" customFormat="1" x14ac:dyDescent="0.3">
      <c r="A164" s="804"/>
      <c r="B164" s="807"/>
      <c r="C164" s="807"/>
      <c r="D164" s="807"/>
      <c r="E164" s="807"/>
      <c r="F164" s="928"/>
      <c r="G164" s="931"/>
      <c r="H164" s="934"/>
      <c r="I164" s="925"/>
      <c r="J164" s="937"/>
      <c r="K164" s="913"/>
      <c r="L164" s="807"/>
      <c r="M164" s="807"/>
      <c r="N164" s="356">
        <v>45535</v>
      </c>
      <c r="O164" s="928"/>
      <c r="P164" s="349">
        <v>1760</v>
      </c>
      <c r="Q164" s="350">
        <v>45545</v>
      </c>
      <c r="R164" s="351"/>
      <c r="S164" s="349"/>
      <c r="T164" s="349"/>
      <c r="U164" s="919"/>
      <c r="V164" s="922"/>
      <c r="W164" s="916"/>
      <c r="X164" s="2">
        <v>33</v>
      </c>
    </row>
    <row r="165" spans="1:24" s="2" customFormat="1" x14ac:dyDescent="0.3">
      <c r="A165" s="805"/>
      <c r="B165" s="808"/>
      <c r="C165" s="808"/>
      <c r="D165" s="808"/>
      <c r="E165" s="808"/>
      <c r="F165" s="929"/>
      <c r="G165" s="932"/>
      <c r="H165" s="935"/>
      <c r="I165" s="926"/>
      <c r="J165" s="938"/>
      <c r="K165" s="914"/>
      <c r="L165" s="808"/>
      <c r="M165" s="808"/>
      <c r="N165" s="357">
        <v>45535</v>
      </c>
      <c r="O165" s="929"/>
      <c r="P165" s="352">
        <v>8060</v>
      </c>
      <c r="Q165" s="353">
        <v>45545</v>
      </c>
      <c r="R165" s="354"/>
      <c r="S165" s="352"/>
      <c r="T165" s="352"/>
      <c r="U165" s="920"/>
      <c r="V165" s="923"/>
      <c r="W165" s="917"/>
      <c r="X165" s="2">
        <v>33</v>
      </c>
    </row>
    <row r="166" spans="1:24" s="107" customFormat="1" ht="108" x14ac:dyDescent="0.3">
      <c r="A166" s="155">
        <v>17</v>
      </c>
      <c r="B166" s="158" t="s">
        <v>56</v>
      </c>
      <c r="C166" s="158" t="s">
        <v>146</v>
      </c>
      <c r="D166" s="158" t="s">
        <v>147</v>
      </c>
      <c r="E166" s="158" t="s">
        <v>244</v>
      </c>
      <c r="F166" s="165">
        <v>45369</v>
      </c>
      <c r="G166" s="161" t="s">
        <v>243</v>
      </c>
      <c r="H166" s="546">
        <v>17000</v>
      </c>
      <c r="I166" s="162">
        <f>IF(X166 = 34, H166 + SUM(S166:S166) - SUM(T166:T166) - SUM(P166:P166) - V166,0)</f>
        <v>0</v>
      </c>
      <c r="J166" s="163">
        <v>235002152355</v>
      </c>
      <c r="K166" s="164" t="s">
        <v>238</v>
      </c>
      <c r="L166" s="158" t="s">
        <v>146</v>
      </c>
      <c r="M166" s="158"/>
      <c r="N166" s="165">
        <v>45369</v>
      </c>
      <c r="O166" s="165" t="s">
        <v>194</v>
      </c>
      <c r="P166" s="157">
        <v>17000</v>
      </c>
      <c r="Q166" s="161">
        <v>45370</v>
      </c>
      <c r="R166" s="158"/>
      <c r="S166" s="157"/>
      <c r="T166" s="157"/>
      <c r="U166" s="157"/>
      <c r="V166" s="159"/>
      <c r="W166" s="160"/>
      <c r="X166" s="107">
        <v>34</v>
      </c>
    </row>
    <row r="167" spans="1:24" s="107" customFormat="1" ht="108" x14ac:dyDescent="0.3">
      <c r="A167" s="155">
        <v>18</v>
      </c>
      <c r="B167" s="158" t="s">
        <v>56</v>
      </c>
      <c r="C167" s="158" t="s">
        <v>146</v>
      </c>
      <c r="D167" s="158" t="s">
        <v>147</v>
      </c>
      <c r="E167" s="158" t="s">
        <v>254</v>
      </c>
      <c r="F167" s="165">
        <v>45372</v>
      </c>
      <c r="G167" s="161" t="s">
        <v>240</v>
      </c>
      <c r="H167" s="546">
        <v>4690.3999999999996</v>
      </c>
      <c r="I167" s="162">
        <f>IF(X167 = 35, H167 + SUM(S167:S167) - SUM(T167:T167) - SUM(P167:P167) - V167,0)</f>
        <v>0</v>
      </c>
      <c r="J167" s="163">
        <v>7715995942</v>
      </c>
      <c r="K167" s="164" t="s">
        <v>241</v>
      </c>
      <c r="L167" s="158" t="s">
        <v>146</v>
      </c>
      <c r="M167" s="158"/>
      <c r="N167" s="165" t="s">
        <v>255</v>
      </c>
      <c r="O167" s="165" t="s">
        <v>194</v>
      </c>
      <c r="P167" s="157">
        <v>4690.3999999999996</v>
      </c>
      <c r="Q167" s="161">
        <v>45447</v>
      </c>
      <c r="R167" s="158"/>
      <c r="S167" s="157"/>
      <c r="T167" s="157"/>
      <c r="U167" s="157"/>
      <c r="V167" s="159"/>
      <c r="W167" s="160"/>
      <c r="X167" s="107">
        <v>35</v>
      </c>
    </row>
    <row r="168" spans="1:24" s="107" customFormat="1" ht="108" x14ac:dyDescent="0.3">
      <c r="A168" s="155">
        <v>19</v>
      </c>
      <c r="B168" s="158" t="s">
        <v>56</v>
      </c>
      <c r="C168" s="158" t="s">
        <v>146</v>
      </c>
      <c r="D168" s="158" t="s">
        <v>147</v>
      </c>
      <c r="E168" s="158" t="s">
        <v>253</v>
      </c>
      <c r="F168" s="165">
        <v>45372</v>
      </c>
      <c r="G168" s="161" t="s">
        <v>240</v>
      </c>
      <c r="H168" s="546">
        <v>43909.8</v>
      </c>
      <c r="I168" s="162">
        <f>IF(X168 = 36, H168 + SUM(S168:S168) - SUM(T168:T168) - SUM(P168:P168) - V168,0)</f>
        <v>0</v>
      </c>
      <c r="J168" s="163">
        <v>7715995942</v>
      </c>
      <c r="K168" s="164" t="s">
        <v>241</v>
      </c>
      <c r="L168" s="158" t="s">
        <v>146</v>
      </c>
      <c r="M168" s="158"/>
      <c r="N168" s="165" t="s">
        <v>255</v>
      </c>
      <c r="O168" s="165" t="s">
        <v>194</v>
      </c>
      <c r="P168" s="157">
        <v>43909.8</v>
      </c>
      <c r="Q168" s="161">
        <v>45467</v>
      </c>
      <c r="R168" s="158"/>
      <c r="S168" s="157"/>
      <c r="T168" s="157"/>
      <c r="U168" s="157"/>
      <c r="V168" s="159"/>
      <c r="W168" s="160"/>
      <c r="X168" s="107">
        <v>36</v>
      </c>
    </row>
    <row r="169" spans="1:24" s="107" customFormat="1" ht="108" x14ac:dyDescent="0.3">
      <c r="A169" s="176">
        <v>20</v>
      </c>
      <c r="B169" s="179" t="s">
        <v>56</v>
      </c>
      <c r="C169" s="179" t="s">
        <v>146</v>
      </c>
      <c r="D169" s="179" t="s">
        <v>147</v>
      </c>
      <c r="E169" s="179" t="s">
        <v>120</v>
      </c>
      <c r="F169" s="187">
        <v>45378</v>
      </c>
      <c r="G169" s="182" t="s">
        <v>207</v>
      </c>
      <c r="H169" s="546">
        <v>39025</v>
      </c>
      <c r="I169" s="183">
        <f>IF(X169 = 37, H169 + SUM(S169:S169) - SUM(T169:T169) - SUM(P169:P169) - V169,0)</f>
        <v>0</v>
      </c>
      <c r="J169" s="184">
        <v>235303483777</v>
      </c>
      <c r="K169" s="185" t="s">
        <v>260</v>
      </c>
      <c r="L169" s="179" t="s">
        <v>146</v>
      </c>
      <c r="M169" s="179"/>
      <c r="N169" s="187"/>
      <c r="O169" s="177" t="s">
        <v>194</v>
      </c>
      <c r="P169" s="178">
        <v>39025</v>
      </c>
      <c r="Q169" s="182">
        <v>45383</v>
      </c>
      <c r="R169" s="179"/>
      <c r="S169" s="178"/>
      <c r="T169" s="178"/>
      <c r="U169" s="178"/>
      <c r="V169" s="180"/>
      <c r="W169" s="181"/>
      <c r="X169" s="107">
        <v>37</v>
      </c>
    </row>
    <row r="170" spans="1:24" s="107" customFormat="1" ht="108" customHeight="1" x14ac:dyDescent="0.3">
      <c r="A170" s="690">
        <v>21</v>
      </c>
      <c r="B170" s="674" t="s">
        <v>56</v>
      </c>
      <c r="C170" s="674" t="s">
        <v>146</v>
      </c>
      <c r="D170" s="674" t="s">
        <v>147</v>
      </c>
      <c r="E170" s="674" t="s">
        <v>120</v>
      </c>
      <c r="F170" s="677">
        <v>45383</v>
      </c>
      <c r="G170" s="898" t="s">
        <v>265</v>
      </c>
      <c r="H170" s="679">
        <v>78554</v>
      </c>
      <c r="I170" s="681">
        <f>IF(X170 = 38, H170 + SUM(S170:S173) - SUM(T170:T173) - SUM(P170:P173) - V170,0)</f>
        <v>-7.2759576141834259E-12</v>
      </c>
      <c r="J170" s="901">
        <v>2353020735</v>
      </c>
      <c r="K170" s="904" t="s">
        <v>156</v>
      </c>
      <c r="L170" s="674" t="s">
        <v>146</v>
      </c>
      <c r="M170" s="674"/>
      <c r="N170" s="284">
        <v>45409</v>
      </c>
      <c r="O170" s="677" t="s">
        <v>194</v>
      </c>
      <c r="P170" s="275">
        <v>19269</v>
      </c>
      <c r="Q170" s="276">
        <v>45427</v>
      </c>
      <c r="R170" s="277"/>
      <c r="S170" s="275"/>
      <c r="T170" s="275"/>
      <c r="U170" s="688"/>
      <c r="V170" s="895">
        <v>34506.400000000001</v>
      </c>
      <c r="W170" s="705"/>
      <c r="X170" s="107">
        <v>38</v>
      </c>
    </row>
    <row r="171" spans="1:24" s="2" customFormat="1" x14ac:dyDescent="0.3">
      <c r="A171" s="692"/>
      <c r="B171" s="675"/>
      <c r="C171" s="675"/>
      <c r="D171" s="675"/>
      <c r="E171" s="675"/>
      <c r="F171" s="708"/>
      <c r="G171" s="899"/>
      <c r="H171" s="709"/>
      <c r="I171" s="710"/>
      <c r="J171" s="902"/>
      <c r="K171" s="905"/>
      <c r="L171" s="675"/>
      <c r="M171" s="675"/>
      <c r="N171" s="285">
        <v>45409</v>
      </c>
      <c r="O171" s="708"/>
      <c r="P171" s="278">
        <v>7560.8</v>
      </c>
      <c r="Q171" s="279">
        <v>45427</v>
      </c>
      <c r="R171" s="280"/>
      <c r="S171" s="278"/>
      <c r="T171" s="278"/>
      <c r="U171" s="711"/>
      <c r="V171" s="896"/>
      <c r="W171" s="706"/>
      <c r="X171" s="2">
        <v>38</v>
      </c>
    </row>
    <row r="172" spans="1:24" s="2" customFormat="1" x14ac:dyDescent="0.3">
      <c r="A172" s="692"/>
      <c r="B172" s="675"/>
      <c r="C172" s="675"/>
      <c r="D172" s="675"/>
      <c r="E172" s="675"/>
      <c r="F172" s="708"/>
      <c r="G172" s="899"/>
      <c r="H172" s="709"/>
      <c r="I172" s="710"/>
      <c r="J172" s="902"/>
      <c r="K172" s="905"/>
      <c r="L172" s="675"/>
      <c r="M172" s="675"/>
      <c r="N172" s="285">
        <v>45436</v>
      </c>
      <c r="O172" s="708"/>
      <c r="P172" s="278">
        <v>12465</v>
      </c>
      <c r="Q172" s="279">
        <v>45449</v>
      </c>
      <c r="R172" s="280"/>
      <c r="S172" s="278"/>
      <c r="T172" s="278"/>
      <c r="U172" s="711"/>
      <c r="V172" s="896"/>
      <c r="W172" s="706"/>
      <c r="X172" s="2">
        <v>38</v>
      </c>
    </row>
    <row r="173" spans="1:24" s="2" customFormat="1" x14ac:dyDescent="0.3">
      <c r="A173" s="691"/>
      <c r="B173" s="676"/>
      <c r="C173" s="676"/>
      <c r="D173" s="676"/>
      <c r="E173" s="676"/>
      <c r="F173" s="678"/>
      <c r="G173" s="900"/>
      <c r="H173" s="680"/>
      <c r="I173" s="682"/>
      <c r="J173" s="903"/>
      <c r="K173" s="906"/>
      <c r="L173" s="676"/>
      <c r="M173" s="676"/>
      <c r="N173" s="286">
        <v>45436</v>
      </c>
      <c r="O173" s="678"/>
      <c r="P173" s="281">
        <v>4752.8</v>
      </c>
      <c r="Q173" s="282">
        <v>45449</v>
      </c>
      <c r="R173" s="283"/>
      <c r="S173" s="281"/>
      <c r="T173" s="281"/>
      <c r="U173" s="689"/>
      <c r="V173" s="897"/>
      <c r="W173" s="707"/>
      <c r="X173" s="2">
        <v>38</v>
      </c>
    </row>
    <row r="174" spans="1:24" s="107" customFormat="1" ht="108" customHeight="1" x14ac:dyDescent="0.3">
      <c r="A174" s="690">
        <v>22</v>
      </c>
      <c r="B174" s="674" t="s">
        <v>56</v>
      </c>
      <c r="C174" s="674" t="s">
        <v>146</v>
      </c>
      <c r="D174" s="674" t="s">
        <v>147</v>
      </c>
      <c r="E174" s="674" t="s">
        <v>121</v>
      </c>
      <c r="F174" s="677">
        <v>45383</v>
      </c>
      <c r="G174" s="898" t="s">
        <v>265</v>
      </c>
      <c r="H174" s="679">
        <v>17220</v>
      </c>
      <c r="I174" s="681">
        <f>IF(X174 = 39, H174 + SUM(S174:S177) - SUM(T174:T177) - SUM(P174:P177) - V174,0)</f>
        <v>0</v>
      </c>
      <c r="J174" s="901">
        <v>2353020735</v>
      </c>
      <c r="K174" s="904" t="s">
        <v>156</v>
      </c>
      <c r="L174" s="674" t="s">
        <v>146</v>
      </c>
      <c r="M174" s="674"/>
      <c r="N174" s="284">
        <v>45409</v>
      </c>
      <c r="O174" s="677" t="s">
        <v>194</v>
      </c>
      <c r="P174" s="275">
        <v>5580</v>
      </c>
      <c r="Q174" s="276">
        <v>45427</v>
      </c>
      <c r="R174" s="277"/>
      <c r="S174" s="275"/>
      <c r="T174" s="275"/>
      <c r="U174" s="688"/>
      <c r="V174" s="895">
        <v>4182</v>
      </c>
      <c r="W174" s="705"/>
      <c r="X174" s="107">
        <v>39</v>
      </c>
    </row>
    <row r="175" spans="1:24" s="2" customFormat="1" x14ac:dyDescent="0.3">
      <c r="A175" s="692"/>
      <c r="B175" s="675"/>
      <c r="C175" s="675"/>
      <c r="D175" s="675"/>
      <c r="E175" s="675"/>
      <c r="F175" s="708"/>
      <c r="G175" s="899"/>
      <c r="H175" s="709"/>
      <c r="I175" s="710"/>
      <c r="J175" s="902"/>
      <c r="K175" s="905"/>
      <c r="L175" s="675"/>
      <c r="M175" s="675"/>
      <c r="N175" s="285">
        <v>45409</v>
      </c>
      <c r="O175" s="708"/>
      <c r="P175" s="278">
        <v>1800</v>
      </c>
      <c r="Q175" s="279">
        <v>45427</v>
      </c>
      <c r="R175" s="280"/>
      <c r="S175" s="278"/>
      <c r="T175" s="278"/>
      <c r="U175" s="711"/>
      <c r="V175" s="896"/>
      <c r="W175" s="706"/>
      <c r="X175" s="2">
        <v>39</v>
      </c>
    </row>
    <row r="176" spans="1:24" s="2" customFormat="1" x14ac:dyDescent="0.3">
      <c r="A176" s="692"/>
      <c r="B176" s="675"/>
      <c r="C176" s="675"/>
      <c r="D176" s="675"/>
      <c r="E176" s="675"/>
      <c r="F176" s="708"/>
      <c r="G176" s="899"/>
      <c r="H176" s="709"/>
      <c r="I176" s="710"/>
      <c r="J176" s="902"/>
      <c r="K176" s="905"/>
      <c r="L176" s="675"/>
      <c r="M176" s="675"/>
      <c r="N176" s="285">
        <v>45436</v>
      </c>
      <c r="O176" s="708"/>
      <c r="P176" s="278">
        <v>4278</v>
      </c>
      <c r="Q176" s="279">
        <v>45449</v>
      </c>
      <c r="R176" s="280"/>
      <c r="S176" s="278"/>
      <c r="T176" s="278"/>
      <c r="U176" s="711"/>
      <c r="V176" s="896"/>
      <c r="W176" s="706"/>
      <c r="X176" s="2">
        <v>39</v>
      </c>
    </row>
    <row r="177" spans="1:24" s="2" customFormat="1" x14ac:dyDescent="0.3">
      <c r="A177" s="691"/>
      <c r="B177" s="676"/>
      <c r="C177" s="676"/>
      <c r="D177" s="676"/>
      <c r="E177" s="676"/>
      <c r="F177" s="678"/>
      <c r="G177" s="900"/>
      <c r="H177" s="680"/>
      <c r="I177" s="682"/>
      <c r="J177" s="903"/>
      <c r="K177" s="906"/>
      <c r="L177" s="676"/>
      <c r="M177" s="676"/>
      <c r="N177" s="286">
        <v>45436</v>
      </c>
      <c r="O177" s="678"/>
      <c r="P177" s="281">
        <v>1380</v>
      </c>
      <c r="Q177" s="282">
        <v>45449</v>
      </c>
      <c r="R177" s="283"/>
      <c r="S177" s="281"/>
      <c r="T177" s="281"/>
      <c r="U177" s="689"/>
      <c r="V177" s="897"/>
      <c r="W177" s="707"/>
      <c r="X177" s="2">
        <v>39</v>
      </c>
    </row>
    <row r="178" spans="1:24" s="107" customFormat="1" ht="108" customHeight="1" x14ac:dyDescent="0.3">
      <c r="A178" s="690">
        <v>23</v>
      </c>
      <c r="B178" s="674" t="s">
        <v>56</v>
      </c>
      <c r="C178" s="674" t="s">
        <v>146</v>
      </c>
      <c r="D178" s="674" t="s">
        <v>220</v>
      </c>
      <c r="E178" s="674" t="s">
        <v>122</v>
      </c>
      <c r="F178" s="677">
        <v>45383</v>
      </c>
      <c r="G178" s="898" t="s">
        <v>265</v>
      </c>
      <c r="H178" s="679">
        <v>133217</v>
      </c>
      <c r="I178" s="681">
        <f>IF(X178 = 40, H178 + SUM(S178:S193) - SUM(T178:T193) - SUM(P178:P193) - V178,0)</f>
        <v>-7.2759576141834259E-12</v>
      </c>
      <c r="J178" s="901">
        <v>2353020735</v>
      </c>
      <c r="K178" s="904" t="s">
        <v>156</v>
      </c>
      <c r="L178" s="674" t="s">
        <v>146</v>
      </c>
      <c r="M178" s="674"/>
      <c r="N178" s="284">
        <v>45409</v>
      </c>
      <c r="O178" s="677" t="s">
        <v>194</v>
      </c>
      <c r="P178" s="275">
        <v>3748</v>
      </c>
      <c r="Q178" s="276">
        <v>45427</v>
      </c>
      <c r="R178" s="277"/>
      <c r="S178" s="275"/>
      <c r="T178" s="275"/>
      <c r="U178" s="688"/>
      <c r="V178" s="895">
        <v>25202.400000000001</v>
      </c>
      <c r="W178" s="705"/>
      <c r="X178" s="107">
        <v>40</v>
      </c>
    </row>
    <row r="179" spans="1:24" s="2" customFormat="1" x14ac:dyDescent="0.3">
      <c r="A179" s="692"/>
      <c r="B179" s="675"/>
      <c r="C179" s="675"/>
      <c r="D179" s="675"/>
      <c r="E179" s="675"/>
      <c r="F179" s="708"/>
      <c r="G179" s="899"/>
      <c r="H179" s="709"/>
      <c r="I179" s="710"/>
      <c r="J179" s="902"/>
      <c r="K179" s="905"/>
      <c r="L179" s="675"/>
      <c r="M179" s="675"/>
      <c r="N179" s="285">
        <v>45409</v>
      </c>
      <c r="O179" s="708"/>
      <c r="P179" s="278">
        <v>1398.86</v>
      </c>
      <c r="Q179" s="279">
        <v>45427</v>
      </c>
      <c r="R179" s="280"/>
      <c r="S179" s="278"/>
      <c r="T179" s="278"/>
      <c r="U179" s="711"/>
      <c r="V179" s="896"/>
      <c r="W179" s="706"/>
      <c r="X179" s="2">
        <v>40</v>
      </c>
    </row>
    <row r="180" spans="1:24" s="2" customFormat="1" x14ac:dyDescent="0.3">
      <c r="A180" s="692"/>
      <c r="B180" s="675"/>
      <c r="C180" s="675"/>
      <c r="D180" s="675"/>
      <c r="E180" s="675"/>
      <c r="F180" s="708"/>
      <c r="G180" s="899"/>
      <c r="H180" s="709"/>
      <c r="I180" s="710"/>
      <c r="J180" s="902"/>
      <c r="K180" s="905"/>
      <c r="L180" s="675"/>
      <c r="M180" s="675"/>
      <c r="N180" s="285">
        <v>45409</v>
      </c>
      <c r="O180" s="708"/>
      <c r="P180" s="278">
        <v>1144.54</v>
      </c>
      <c r="Q180" s="279">
        <v>45427</v>
      </c>
      <c r="R180" s="280"/>
      <c r="S180" s="278"/>
      <c r="T180" s="278"/>
      <c r="U180" s="711"/>
      <c r="V180" s="896"/>
      <c r="W180" s="706"/>
      <c r="X180" s="2">
        <v>40</v>
      </c>
    </row>
    <row r="181" spans="1:24" s="2" customFormat="1" x14ac:dyDescent="0.3">
      <c r="A181" s="692"/>
      <c r="B181" s="675"/>
      <c r="C181" s="675"/>
      <c r="D181" s="675"/>
      <c r="E181" s="675"/>
      <c r="F181" s="708"/>
      <c r="G181" s="899"/>
      <c r="H181" s="709"/>
      <c r="I181" s="710"/>
      <c r="J181" s="902"/>
      <c r="K181" s="905"/>
      <c r="L181" s="675"/>
      <c r="M181" s="675"/>
      <c r="N181" s="293">
        <v>45409</v>
      </c>
      <c r="O181" s="708"/>
      <c r="P181" s="278">
        <v>24221.35</v>
      </c>
      <c r="Q181" s="279">
        <v>45427</v>
      </c>
      <c r="R181" s="280"/>
      <c r="S181" s="278"/>
      <c r="T181" s="278"/>
      <c r="U181" s="711"/>
      <c r="V181" s="896"/>
      <c r="W181" s="706"/>
      <c r="X181" s="2">
        <v>40</v>
      </c>
    </row>
    <row r="182" spans="1:24" s="2" customFormat="1" x14ac:dyDescent="0.3">
      <c r="A182" s="692"/>
      <c r="B182" s="675"/>
      <c r="C182" s="675"/>
      <c r="D182" s="675"/>
      <c r="E182" s="675"/>
      <c r="F182" s="708"/>
      <c r="G182" s="899"/>
      <c r="H182" s="709"/>
      <c r="I182" s="710"/>
      <c r="J182" s="902"/>
      <c r="K182" s="905"/>
      <c r="L182" s="675"/>
      <c r="M182" s="675"/>
      <c r="N182" s="285">
        <v>45409</v>
      </c>
      <c r="O182" s="708"/>
      <c r="P182" s="278">
        <v>19817.650000000001</v>
      </c>
      <c r="Q182" s="279">
        <v>45427</v>
      </c>
      <c r="R182" s="280"/>
      <c r="S182" s="278"/>
      <c r="T182" s="278"/>
      <c r="U182" s="711"/>
      <c r="V182" s="896"/>
      <c r="W182" s="706"/>
      <c r="X182" s="2">
        <v>40</v>
      </c>
    </row>
    <row r="183" spans="1:24" s="2" customFormat="1" x14ac:dyDescent="0.3">
      <c r="A183" s="692"/>
      <c r="B183" s="675"/>
      <c r="C183" s="675"/>
      <c r="D183" s="675"/>
      <c r="E183" s="675"/>
      <c r="F183" s="708"/>
      <c r="G183" s="899"/>
      <c r="H183" s="709"/>
      <c r="I183" s="710"/>
      <c r="J183" s="902"/>
      <c r="K183" s="905"/>
      <c r="L183" s="675"/>
      <c r="M183" s="675"/>
      <c r="N183" s="285">
        <v>45409</v>
      </c>
      <c r="O183" s="708"/>
      <c r="P183" s="278">
        <v>14100</v>
      </c>
      <c r="Q183" s="279">
        <v>45427</v>
      </c>
      <c r="R183" s="280"/>
      <c r="S183" s="278"/>
      <c r="T183" s="278"/>
      <c r="U183" s="711"/>
      <c r="V183" s="896"/>
      <c r="W183" s="706"/>
      <c r="X183" s="2">
        <v>40</v>
      </c>
    </row>
    <row r="184" spans="1:24" s="2" customFormat="1" x14ac:dyDescent="0.3">
      <c r="A184" s="692"/>
      <c r="B184" s="675"/>
      <c r="C184" s="675"/>
      <c r="D184" s="675"/>
      <c r="E184" s="675"/>
      <c r="F184" s="708"/>
      <c r="G184" s="899"/>
      <c r="H184" s="709"/>
      <c r="I184" s="710"/>
      <c r="J184" s="902"/>
      <c r="K184" s="905"/>
      <c r="L184" s="675"/>
      <c r="M184" s="675"/>
      <c r="N184" s="293">
        <v>45409</v>
      </c>
      <c r="O184" s="708"/>
      <c r="P184" s="278">
        <v>810</v>
      </c>
      <c r="Q184" s="279">
        <v>45427</v>
      </c>
      <c r="R184" s="280"/>
      <c r="S184" s="278"/>
      <c r="T184" s="278"/>
      <c r="U184" s="711"/>
      <c r="V184" s="896"/>
      <c r="W184" s="706"/>
      <c r="X184" s="2">
        <v>40</v>
      </c>
    </row>
    <row r="185" spans="1:24" s="2" customFormat="1" x14ac:dyDescent="0.3">
      <c r="A185" s="692"/>
      <c r="B185" s="675"/>
      <c r="C185" s="675"/>
      <c r="D185" s="675"/>
      <c r="E185" s="675"/>
      <c r="F185" s="708"/>
      <c r="G185" s="899"/>
      <c r="H185" s="709"/>
      <c r="I185" s="710"/>
      <c r="J185" s="902"/>
      <c r="K185" s="905"/>
      <c r="L185" s="675"/>
      <c r="M185" s="675"/>
      <c r="N185" s="285">
        <v>45409</v>
      </c>
      <c r="O185" s="708"/>
      <c r="P185" s="278">
        <v>1200</v>
      </c>
      <c r="Q185" s="279">
        <v>45428</v>
      </c>
      <c r="R185" s="280"/>
      <c r="S185" s="278"/>
      <c r="T185" s="278"/>
      <c r="U185" s="711"/>
      <c r="V185" s="896"/>
      <c r="W185" s="706"/>
      <c r="X185" s="2">
        <v>40</v>
      </c>
    </row>
    <row r="186" spans="1:24" s="2" customFormat="1" x14ac:dyDescent="0.3">
      <c r="A186" s="692"/>
      <c r="B186" s="675"/>
      <c r="C186" s="675"/>
      <c r="D186" s="675"/>
      <c r="E186" s="675"/>
      <c r="F186" s="708"/>
      <c r="G186" s="899"/>
      <c r="H186" s="709"/>
      <c r="I186" s="710"/>
      <c r="J186" s="902"/>
      <c r="K186" s="905"/>
      <c r="L186" s="675"/>
      <c r="M186" s="675"/>
      <c r="N186" s="285">
        <v>45436</v>
      </c>
      <c r="O186" s="708"/>
      <c r="P186" s="278">
        <v>2436.1999999999998</v>
      </c>
      <c r="Q186" s="279">
        <v>45449</v>
      </c>
      <c r="R186" s="280"/>
      <c r="S186" s="278"/>
      <c r="T186" s="278"/>
      <c r="U186" s="711"/>
      <c r="V186" s="896"/>
      <c r="W186" s="706"/>
      <c r="X186" s="2">
        <v>40</v>
      </c>
    </row>
    <row r="187" spans="1:24" s="2" customFormat="1" x14ac:dyDescent="0.3">
      <c r="A187" s="692"/>
      <c r="B187" s="675"/>
      <c r="C187" s="675"/>
      <c r="D187" s="675"/>
      <c r="E187" s="675"/>
      <c r="F187" s="708"/>
      <c r="G187" s="899"/>
      <c r="H187" s="709"/>
      <c r="I187" s="710"/>
      <c r="J187" s="902"/>
      <c r="K187" s="905"/>
      <c r="L187" s="675"/>
      <c r="M187" s="675"/>
      <c r="N187" s="293">
        <v>45436</v>
      </c>
      <c r="O187" s="708"/>
      <c r="P187" s="278">
        <v>780</v>
      </c>
      <c r="Q187" s="279">
        <v>45449</v>
      </c>
      <c r="R187" s="280"/>
      <c r="S187" s="278"/>
      <c r="T187" s="278"/>
      <c r="U187" s="711"/>
      <c r="V187" s="896"/>
      <c r="W187" s="706"/>
      <c r="X187" s="2">
        <v>40</v>
      </c>
    </row>
    <row r="188" spans="1:24" s="2" customFormat="1" x14ac:dyDescent="0.3">
      <c r="A188" s="692"/>
      <c r="B188" s="675"/>
      <c r="C188" s="675"/>
      <c r="D188" s="675"/>
      <c r="E188" s="675"/>
      <c r="F188" s="708"/>
      <c r="G188" s="899"/>
      <c r="H188" s="709"/>
      <c r="I188" s="710"/>
      <c r="J188" s="902"/>
      <c r="K188" s="905"/>
      <c r="L188" s="675"/>
      <c r="M188" s="675"/>
      <c r="N188" s="285">
        <v>45436</v>
      </c>
      <c r="O188" s="708"/>
      <c r="P188" s="278">
        <v>1139.82</v>
      </c>
      <c r="Q188" s="279">
        <v>45449</v>
      </c>
      <c r="R188" s="280"/>
      <c r="S188" s="278"/>
      <c r="T188" s="278"/>
      <c r="U188" s="711"/>
      <c r="V188" s="896"/>
      <c r="W188" s="706"/>
      <c r="X188" s="2">
        <v>40</v>
      </c>
    </row>
    <row r="189" spans="1:24" s="2" customFormat="1" x14ac:dyDescent="0.3">
      <c r="A189" s="692"/>
      <c r="B189" s="675"/>
      <c r="C189" s="675"/>
      <c r="D189" s="675"/>
      <c r="E189" s="675"/>
      <c r="F189" s="708"/>
      <c r="G189" s="899"/>
      <c r="H189" s="709"/>
      <c r="I189" s="710"/>
      <c r="J189" s="902"/>
      <c r="K189" s="905"/>
      <c r="L189" s="675"/>
      <c r="M189" s="675"/>
      <c r="N189" s="293">
        <v>45436</v>
      </c>
      <c r="O189" s="708"/>
      <c r="P189" s="278">
        <v>932.58</v>
      </c>
      <c r="Q189" s="279">
        <v>45449</v>
      </c>
      <c r="R189" s="280"/>
      <c r="S189" s="278"/>
      <c r="T189" s="278"/>
      <c r="U189" s="711"/>
      <c r="V189" s="896"/>
      <c r="W189" s="706"/>
      <c r="X189" s="2">
        <v>40</v>
      </c>
    </row>
    <row r="190" spans="1:24" s="2" customFormat="1" x14ac:dyDescent="0.3">
      <c r="A190" s="692"/>
      <c r="B190" s="675"/>
      <c r="C190" s="675"/>
      <c r="D190" s="675"/>
      <c r="E190" s="675"/>
      <c r="F190" s="708"/>
      <c r="G190" s="899"/>
      <c r="H190" s="709"/>
      <c r="I190" s="710"/>
      <c r="J190" s="902"/>
      <c r="K190" s="905"/>
      <c r="L190" s="675"/>
      <c r="M190" s="675"/>
      <c r="N190" s="285">
        <v>45436</v>
      </c>
      <c r="O190" s="708"/>
      <c r="P190" s="278">
        <v>8640</v>
      </c>
      <c r="Q190" s="279">
        <v>45449</v>
      </c>
      <c r="R190" s="280"/>
      <c r="S190" s="278"/>
      <c r="T190" s="278"/>
      <c r="U190" s="711"/>
      <c r="V190" s="896"/>
      <c r="W190" s="706"/>
      <c r="X190" s="2">
        <v>40</v>
      </c>
    </row>
    <row r="191" spans="1:24" s="2" customFormat="1" x14ac:dyDescent="0.3">
      <c r="A191" s="692"/>
      <c r="B191" s="675"/>
      <c r="C191" s="675"/>
      <c r="D191" s="675"/>
      <c r="E191" s="675"/>
      <c r="F191" s="708"/>
      <c r="G191" s="899"/>
      <c r="H191" s="709"/>
      <c r="I191" s="710"/>
      <c r="J191" s="902"/>
      <c r="K191" s="905"/>
      <c r="L191" s="675"/>
      <c r="M191" s="675"/>
      <c r="N191" s="293">
        <v>45436</v>
      </c>
      <c r="O191" s="708"/>
      <c r="P191" s="278">
        <v>660</v>
      </c>
      <c r="Q191" s="279">
        <v>45449</v>
      </c>
      <c r="R191" s="280"/>
      <c r="S191" s="278"/>
      <c r="T191" s="278"/>
      <c r="U191" s="711"/>
      <c r="V191" s="896"/>
      <c r="W191" s="706"/>
      <c r="X191" s="2">
        <v>40</v>
      </c>
    </row>
    <row r="192" spans="1:24" s="2" customFormat="1" x14ac:dyDescent="0.3">
      <c r="A192" s="692"/>
      <c r="B192" s="675"/>
      <c r="C192" s="675"/>
      <c r="D192" s="675"/>
      <c r="E192" s="675"/>
      <c r="F192" s="708"/>
      <c r="G192" s="899"/>
      <c r="H192" s="709"/>
      <c r="I192" s="710"/>
      <c r="J192" s="902"/>
      <c r="K192" s="905"/>
      <c r="L192" s="675"/>
      <c r="M192" s="675"/>
      <c r="N192" s="285">
        <v>45436</v>
      </c>
      <c r="O192" s="708"/>
      <c r="P192" s="278">
        <v>14842.02</v>
      </c>
      <c r="Q192" s="279">
        <v>45449</v>
      </c>
      <c r="R192" s="280"/>
      <c r="S192" s="278"/>
      <c r="T192" s="278"/>
      <c r="U192" s="711"/>
      <c r="V192" s="896"/>
      <c r="W192" s="706"/>
      <c r="X192" s="2">
        <v>40</v>
      </c>
    </row>
    <row r="193" spans="1:24" s="2" customFormat="1" x14ac:dyDescent="0.3">
      <c r="A193" s="691"/>
      <c r="B193" s="676"/>
      <c r="C193" s="676"/>
      <c r="D193" s="676"/>
      <c r="E193" s="676"/>
      <c r="F193" s="678"/>
      <c r="G193" s="900"/>
      <c r="H193" s="680"/>
      <c r="I193" s="682"/>
      <c r="J193" s="903"/>
      <c r="K193" s="906"/>
      <c r="L193" s="676"/>
      <c r="M193" s="676"/>
      <c r="N193" s="293">
        <v>45436</v>
      </c>
      <c r="O193" s="678"/>
      <c r="P193" s="281">
        <v>12143.58</v>
      </c>
      <c r="Q193" s="279">
        <v>45449</v>
      </c>
      <c r="R193" s="283"/>
      <c r="S193" s="281"/>
      <c r="T193" s="281"/>
      <c r="U193" s="689"/>
      <c r="V193" s="897"/>
      <c r="W193" s="707"/>
      <c r="X193" s="2">
        <v>40</v>
      </c>
    </row>
    <row r="194" spans="1:24" s="107" customFormat="1" ht="108" customHeight="1" x14ac:dyDescent="0.3">
      <c r="A194" s="690">
        <v>24</v>
      </c>
      <c r="B194" s="674" t="s">
        <v>56</v>
      </c>
      <c r="C194" s="674" t="s">
        <v>146</v>
      </c>
      <c r="D194" s="674" t="s">
        <v>147</v>
      </c>
      <c r="E194" s="674" t="s">
        <v>123</v>
      </c>
      <c r="F194" s="677">
        <v>45383</v>
      </c>
      <c r="G194" s="898" t="s">
        <v>265</v>
      </c>
      <c r="H194" s="679">
        <v>540823.15</v>
      </c>
      <c r="I194" s="681">
        <f>IF(X194 = 41, H194 + SUM(S194:S212) - SUM(T194:T212) - SUM(P194:P212) - V194,0)</f>
        <v>2.9103830456733704E-11</v>
      </c>
      <c r="J194" s="901">
        <v>2353020735</v>
      </c>
      <c r="K194" s="904" t="s">
        <v>156</v>
      </c>
      <c r="L194" s="674" t="s">
        <v>146</v>
      </c>
      <c r="M194" s="674"/>
      <c r="N194" s="284">
        <v>45387</v>
      </c>
      <c r="O194" s="677" t="s">
        <v>194</v>
      </c>
      <c r="P194" s="275">
        <v>17160</v>
      </c>
      <c r="Q194" s="276">
        <v>45408</v>
      </c>
      <c r="R194" s="277"/>
      <c r="S194" s="275"/>
      <c r="T194" s="275"/>
      <c r="U194" s="688"/>
      <c r="V194" s="895">
        <v>70203.59</v>
      </c>
      <c r="W194" s="705"/>
      <c r="X194" s="107">
        <v>41</v>
      </c>
    </row>
    <row r="195" spans="1:24" s="2" customFormat="1" x14ac:dyDescent="0.3">
      <c r="A195" s="692"/>
      <c r="B195" s="675"/>
      <c r="C195" s="675"/>
      <c r="D195" s="675"/>
      <c r="E195" s="675"/>
      <c r="F195" s="708"/>
      <c r="G195" s="899"/>
      <c r="H195" s="709"/>
      <c r="I195" s="710"/>
      <c r="J195" s="902"/>
      <c r="K195" s="905"/>
      <c r="L195" s="675"/>
      <c r="M195" s="675"/>
      <c r="N195" s="285">
        <v>45387</v>
      </c>
      <c r="O195" s="708"/>
      <c r="P195" s="278">
        <v>49289.08</v>
      </c>
      <c r="Q195" s="279">
        <v>45408</v>
      </c>
      <c r="R195" s="280"/>
      <c r="S195" s="278"/>
      <c r="T195" s="278"/>
      <c r="U195" s="711"/>
      <c r="V195" s="896"/>
      <c r="W195" s="706"/>
      <c r="X195" s="2">
        <v>41</v>
      </c>
    </row>
    <row r="196" spans="1:24" s="2" customFormat="1" x14ac:dyDescent="0.3">
      <c r="A196" s="692"/>
      <c r="B196" s="675"/>
      <c r="C196" s="675"/>
      <c r="D196" s="675"/>
      <c r="E196" s="675"/>
      <c r="F196" s="708"/>
      <c r="G196" s="899"/>
      <c r="H196" s="709"/>
      <c r="I196" s="710"/>
      <c r="J196" s="902"/>
      <c r="K196" s="905"/>
      <c r="L196" s="675"/>
      <c r="M196" s="675"/>
      <c r="N196" s="285">
        <v>45387</v>
      </c>
      <c r="O196" s="708"/>
      <c r="P196" s="278">
        <v>3146.16</v>
      </c>
      <c r="Q196" s="279">
        <v>45408</v>
      </c>
      <c r="R196" s="280"/>
      <c r="S196" s="278"/>
      <c r="T196" s="278"/>
      <c r="U196" s="711"/>
      <c r="V196" s="896"/>
      <c r="W196" s="706"/>
      <c r="X196" s="2">
        <v>41</v>
      </c>
    </row>
    <row r="197" spans="1:24" s="2" customFormat="1" x14ac:dyDescent="0.3">
      <c r="A197" s="692"/>
      <c r="B197" s="675"/>
      <c r="C197" s="675"/>
      <c r="D197" s="675"/>
      <c r="E197" s="675"/>
      <c r="F197" s="708"/>
      <c r="G197" s="899"/>
      <c r="H197" s="709"/>
      <c r="I197" s="710"/>
      <c r="J197" s="902"/>
      <c r="K197" s="905"/>
      <c r="L197" s="675"/>
      <c r="M197" s="675"/>
      <c r="N197" s="285">
        <v>45401</v>
      </c>
      <c r="O197" s="708"/>
      <c r="P197" s="278">
        <v>32880</v>
      </c>
      <c r="Q197" s="279">
        <v>45408</v>
      </c>
      <c r="R197" s="280"/>
      <c r="S197" s="278"/>
      <c r="T197" s="278"/>
      <c r="U197" s="711"/>
      <c r="V197" s="896"/>
      <c r="W197" s="706"/>
      <c r="X197" s="2">
        <v>41</v>
      </c>
    </row>
    <row r="198" spans="1:24" s="2" customFormat="1" x14ac:dyDescent="0.3">
      <c r="A198" s="692"/>
      <c r="B198" s="675"/>
      <c r="C198" s="675"/>
      <c r="D198" s="675"/>
      <c r="E198" s="675"/>
      <c r="F198" s="708"/>
      <c r="G198" s="899"/>
      <c r="H198" s="709"/>
      <c r="I198" s="710"/>
      <c r="J198" s="902"/>
      <c r="K198" s="905"/>
      <c r="L198" s="675"/>
      <c r="M198" s="675"/>
      <c r="N198" s="285">
        <v>45401</v>
      </c>
      <c r="O198" s="708"/>
      <c r="P198" s="278">
        <v>94442.01</v>
      </c>
      <c r="Q198" s="279">
        <v>45408</v>
      </c>
      <c r="R198" s="280"/>
      <c r="S198" s="278"/>
      <c r="T198" s="278"/>
      <c r="U198" s="711"/>
      <c r="V198" s="896"/>
      <c r="W198" s="706"/>
      <c r="X198" s="2">
        <v>41</v>
      </c>
    </row>
    <row r="199" spans="1:24" s="2" customFormat="1" x14ac:dyDescent="0.3">
      <c r="A199" s="692"/>
      <c r="B199" s="675"/>
      <c r="C199" s="675"/>
      <c r="D199" s="675"/>
      <c r="E199" s="675"/>
      <c r="F199" s="708"/>
      <c r="G199" s="899"/>
      <c r="H199" s="709"/>
      <c r="I199" s="710"/>
      <c r="J199" s="902"/>
      <c r="K199" s="905"/>
      <c r="L199" s="675"/>
      <c r="M199" s="675"/>
      <c r="N199" s="285">
        <v>45401</v>
      </c>
      <c r="O199" s="708"/>
      <c r="P199" s="278">
        <v>6028.31</v>
      </c>
      <c r="Q199" s="279">
        <v>45408</v>
      </c>
      <c r="R199" s="280"/>
      <c r="S199" s="278"/>
      <c r="T199" s="278"/>
      <c r="U199" s="711"/>
      <c r="V199" s="896"/>
      <c r="W199" s="706"/>
      <c r="X199" s="2">
        <v>41</v>
      </c>
    </row>
    <row r="200" spans="1:24" s="2" customFormat="1" x14ac:dyDescent="0.3">
      <c r="A200" s="692"/>
      <c r="B200" s="675"/>
      <c r="C200" s="675"/>
      <c r="D200" s="675"/>
      <c r="E200" s="675"/>
      <c r="F200" s="708"/>
      <c r="G200" s="899"/>
      <c r="H200" s="709"/>
      <c r="I200" s="710"/>
      <c r="J200" s="902"/>
      <c r="K200" s="905"/>
      <c r="L200" s="675"/>
      <c r="M200" s="675"/>
      <c r="N200" s="285">
        <v>45409</v>
      </c>
      <c r="O200" s="708"/>
      <c r="P200" s="278">
        <v>19830</v>
      </c>
      <c r="Q200" s="279">
        <v>45427</v>
      </c>
      <c r="R200" s="280"/>
      <c r="S200" s="278"/>
      <c r="T200" s="278"/>
      <c r="U200" s="711"/>
      <c r="V200" s="896"/>
      <c r="W200" s="706"/>
      <c r="X200" s="2">
        <v>41</v>
      </c>
    </row>
    <row r="201" spans="1:24" s="2" customFormat="1" x14ac:dyDescent="0.3">
      <c r="A201" s="692"/>
      <c r="B201" s="675"/>
      <c r="C201" s="675"/>
      <c r="D201" s="675"/>
      <c r="E201" s="675"/>
      <c r="F201" s="708"/>
      <c r="G201" s="899"/>
      <c r="H201" s="709"/>
      <c r="I201" s="710"/>
      <c r="J201" s="902"/>
      <c r="K201" s="905"/>
      <c r="L201" s="675"/>
      <c r="M201" s="675"/>
      <c r="N201" s="285">
        <v>45415</v>
      </c>
      <c r="O201" s="708"/>
      <c r="P201" s="278">
        <v>6390</v>
      </c>
      <c r="Q201" s="279">
        <v>45427</v>
      </c>
      <c r="R201" s="280"/>
      <c r="S201" s="278"/>
      <c r="T201" s="278"/>
      <c r="U201" s="711"/>
      <c r="V201" s="896"/>
      <c r="W201" s="706"/>
      <c r="X201" s="2">
        <v>41</v>
      </c>
    </row>
    <row r="202" spans="1:24" s="2" customFormat="1" x14ac:dyDescent="0.3">
      <c r="A202" s="692"/>
      <c r="B202" s="675"/>
      <c r="C202" s="675"/>
      <c r="D202" s="675"/>
      <c r="E202" s="675"/>
      <c r="F202" s="708"/>
      <c r="G202" s="899"/>
      <c r="H202" s="709"/>
      <c r="I202" s="710"/>
      <c r="J202" s="902"/>
      <c r="K202" s="905"/>
      <c r="L202" s="675"/>
      <c r="M202" s="675"/>
      <c r="N202" s="285">
        <v>45409</v>
      </c>
      <c r="O202" s="708"/>
      <c r="P202" s="278">
        <v>56958.18</v>
      </c>
      <c r="Q202" s="279">
        <v>45429</v>
      </c>
      <c r="R202" s="280"/>
      <c r="S202" s="278"/>
      <c r="T202" s="278"/>
      <c r="U202" s="711"/>
      <c r="V202" s="896"/>
      <c r="W202" s="706"/>
      <c r="X202" s="2">
        <v>41</v>
      </c>
    </row>
    <row r="203" spans="1:24" s="2" customFormat="1" x14ac:dyDescent="0.3">
      <c r="A203" s="692"/>
      <c r="B203" s="675"/>
      <c r="C203" s="675"/>
      <c r="D203" s="675"/>
      <c r="E203" s="675"/>
      <c r="F203" s="708"/>
      <c r="G203" s="899"/>
      <c r="H203" s="709"/>
      <c r="I203" s="710"/>
      <c r="J203" s="902"/>
      <c r="K203" s="905"/>
      <c r="L203" s="675"/>
      <c r="M203" s="675"/>
      <c r="N203" s="285">
        <v>45409</v>
      </c>
      <c r="O203" s="708"/>
      <c r="P203" s="278">
        <v>3635.69</v>
      </c>
      <c r="Q203" s="279">
        <v>45429</v>
      </c>
      <c r="R203" s="280"/>
      <c r="S203" s="278"/>
      <c r="T203" s="278"/>
      <c r="U203" s="711"/>
      <c r="V203" s="896"/>
      <c r="W203" s="706"/>
      <c r="X203" s="2">
        <v>41</v>
      </c>
    </row>
    <row r="204" spans="1:24" s="2" customFormat="1" x14ac:dyDescent="0.3">
      <c r="A204" s="692"/>
      <c r="B204" s="675"/>
      <c r="C204" s="675"/>
      <c r="D204" s="675"/>
      <c r="E204" s="675"/>
      <c r="F204" s="708"/>
      <c r="G204" s="899"/>
      <c r="H204" s="709"/>
      <c r="I204" s="710"/>
      <c r="J204" s="902"/>
      <c r="K204" s="905"/>
      <c r="L204" s="675"/>
      <c r="M204" s="675"/>
      <c r="N204" s="285">
        <v>45415</v>
      </c>
      <c r="O204" s="708"/>
      <c r="P204" s="278">
        <v>18354.150000000001</v>
      </c>
      <c r="Q204" s="279">
        <v>45429</v>
      </c>
      <c r="R204" s="280"/>
      <c r="S204" s="278"/>
      <c r="T204" s="278"/>
      <c r="U204" s="711"/>
      <c r="V204" s="896"/>
      <c r="W204" s="706"/>
      <c r="X204" s="2">
        <v>41</v>
      </c>
    </row>
    <row r="205" spans="1:24" s="2" customFormat="1" x14ac:dyDescent="0.3">
      <c r="A205" s="692"/>
      <c r="B205" s="675"/>
      <c r="C205" s="675"/>
      <c r="D205" s="675"/>
      <c r="E205" s="675"/>
      <c r="F205" s="708"/>
      <c r="G205" s="899"/>
      <c r="H205" s="709"/>
      <c r="I205" s="710"/>
      <c r="J205" s="902"/>
      <c r="K205" s="905"/>
      <c r="L205" s="675"/>
      <c r="M205" s="675"/>
      <c r="N205" s="285">
        <v>45415</v>
      </c>
      <c r="O205" s="708"/>
      <c r="P205" s="278">
        <v>1171.56</v>
      </c>
      <c r="Q205" s="279">
        <v>45429</v>
      </c>
      <c r="R205" s="280"/>
      <c r="S205" s="278"/>
      <c r="T205" s="278"/>
      <c r="U205" s="711"/>
      <c r="V205" s="896"/>
      <c r="W205" s="706"/>
      <c r="X205" s="2">
        <v>41</v>
      </c>
    </row>
    <row r="206" spans="1:24" s="2" customFormat="1" x14ac:dyDescent="0.3">
      <c r="A206" s="692"/>
      <c r="B206" s="675"/>
      <c r="C206" s="675"/>
      <c r="D206" s="675"/>
      <c r="E206" s="675"/>
      <c r="F206" s="708"/>
      <c r="G206" s="899"/>
      <c r="H206" s="709"/>
      <c r="I206" s="710"/>
      <c r="J206" s="902"/>
      <c r="K206" s="905"/>
      <c r="L206" s="675"/>
      <c r="M206" s="675"/>
      <c r="N206" s="285">
        <v>45429</v>
      </c>
      <c r="O206" s="708"/>
      <c r="P206" s="278">
        <v>23070</v>
      </c>
      <c r="Q206" s="279">
        <v>45439</v>
      </c>
      <c r="R206" s="280"/>
      <c r="S206" s="278"/>
      <c r="T206" s="278"/>
      <c r="U206" s="711"/>
      <c r="V206" s="896"/>
      <c r="W206" s="706"/>
      <c r="X206" s="2">
        <v>41</v>
      </c>
    </row>
    <row r="207" spans="1:24" s="2" customFormat="1" x14ac:dyDescent="0.3">
      <c r="A207" s="692"/>
      <c r="B207" s="675"/>
      <c r="C207" s="675"/>
      <c r="D207" s="675"/>
      <c r="E207" s="675"/>
      <c r="F207" s="708"/>
      <c r="G207" s="899"/>
      <c r="H207" s="709"/>
      <c r="I207" s="710"/>
      <c r="J207" s="902"/>
      <c r="K207" s="905"/>
      <c r="L207" s="675"/>
      <c r="M207" s="675"/>
      <c r="N207" s="285">
        <v>45429</v>
      </c>
      <c r="O207" s="708"/>
      <c r="P207" s="278">
        <v>66264.509999999995</v>
      </c>
      <c r="Q207" s="279">
        <v>45439</v>
      </c>
      <c r="R207" s="280"/>
      <c r="S207" s="278"/>
      <c r="T207" s="278"/>
      <c r="U207" s="711"/>
      <c r="V207" s="896"/>
      <c r="W207" s="706"/>
      <c r="X207" s="2">
        <v>41</v>
      </c>
    </row>
    <row r="208" spans="1:24" s="2" customFormat="1" x14ac:dyDescent="0.3">
      <c r="A208" s="692"/>
      <c r="B208" s="675"/>
      <c r="C208" s="675"/>
      <c r="D208" s="675"/>
      <c r="E208" s="675"/>
      <c r="F208" s="708"/>
      <c r="G208" s="899"/>
      <c r="H208" s="709"/>
      <c r="I208" s="710"/>
      <c r="J208" s="902"/>
      <c r="K208" s="905"/>
      <c r="L208" s="675"/>
      <c r="M208" s="675"/>
      <c r="N208" s="285">
        <v>45429</v>
      </c>
      <c r="O208" s="708"/>
      <c r="P208" s="278">
        <v>4229.72</v>
      </c>
      <c r="Q208" s="279">
        <v>45439</v>
      </c>
      <c r="R208" s="280"/>
      <c r="S208" s="278"/>
      <c r="T208" s="278"/>
      <c r="U208" s="711"/>
      <c r="V208" s="896"/>
      <c r="W208" s="706"/>
      <c r="X208" s="2">
        <v>41</v>
      </c>
    </row>
    <row r="209" spans="1:24" s="2" customFormat="1" x14ac:dyDescent="0.3">
      <c r="A209" s="692"/>
      <c r="B209" s="675"/>
      <c r="C209" s="675"/>
      <c r="D209" s="675"/>
      <c r="E209" s="675"/>
      <c r="F209" s="708"/>
      <c r="G209" s="899"/>
      <c r="H209" s="709"/>
      <c r="I209" s="710"/>
      <c r="J209" s="902"/>
      <c r="K209" s="905"/>
      <c r="L209" s="675"/>
      <c r="M209" s="675"/>
      <c r="N209" s="285">
        <v>45436</v>
      </c>
      <c r="O209" s="708"/>
      <c r="P209" s="278">
        <v>16710</v>
      </c>
      <c r="Q209" s="279">
        <v>45449</v>
      </c>
      <c r="R209" s="280"/>
      <c r="S209" s="278"/>
      <c r="T209" s="278"/>
      <c r="U209" s="711"/>
      <c r="V209" s="896"/>
      <c r="W209" s="706"/>
      <c r="X209" s="2">
        <v>41</v>
      </c>
    </row>
    <row r="210" spans="1:24" s="2" customFormat="1" x14ac:dyDescent="0.3">
      <c r="A210" s="692"/>
      <c r="B210" s="675"/>
      <c r="C210" s="675"/>
      <c r="D210" s="675"/>
      <c r="E210" s="675"/>
      <c r="F210" s="708"/>
      <c r="G210" s="899"/>
      <c r="H210" s="709"/>
      <c r="I210" s="710"/>
      <c r="J210" s="902"/>
      <c r="K210" s="905"/>
      <c r="L210" s="675"/>
      <c r="M210" s="675"/>
      <c r="N210" s="285">
        <v>45436</v>
      </c>
      <c r="O210" s="708"/>
      <c r="P210" s="278">
        <v>47996.53</v>
      </c>
      <c r="Q210" s="279">
        <v>45449</v>
      </c>
      <c r="R210" s="280"/>
      <c r="S210" s="278"/>
      <c r="T210" s="278"/>
      <c r="U210" s="711"/>
      <c r="V210" s="896"/>
      <c r="W210" s="706"/>
      <c r="X210" s="2">
        <v>41</v>
      </c>
    </row>
    <row r="211" spans="1:24" s="2" customFormat="1" x14ac:dyDescent="0.3">
      <c r="A211" s="692"/>
      <c r="B211" s="675"/>
      <c r="C211" s="675"/>
      <c r="D211" s="675"/>
      <c r="E211" s="675"/>
      <c r="F211" s="708"/>
      <c r="G211" s="899"/>
      <c r="H211" s="709"/>
      <c r="I211" s="710"/>
      <c r="J211" s="902"/>
      <c r="K211" s="905"/>
      <c r="L211" s="675"/>
      <c r="M211" s="675"/>
      <c r="N211" s="285">
        <v>45436</v>
      </c>
      <c r="O211" s="708"/>
      <c r="P211" s="278">
        <v>3063.66</v>
      </c>
      <c r="Q211" s="279">
        <v>45449</v>
      </c>
      <c r="R211" s="280"/>
      <c r="S211" s="278"/>
      <c r="T211" s="278"/>
      <c r="U211" s="711"/>
      <c r="V211" s="896"/>
      <c r="W211" s="706"/>
      <c r="X211" s="2">
        <v>41</v>
      </c>
    </row>
    <row r="212" spans="1:24" s="2" customFormat="1" x14ac:dyDescent="0.3">
      <c r="A212" s="691"/>
      <c r="B212" s="676"/>
      <c r="C212" s="676"/>
      <c r="D212" s="676"/>
      <c r="E212" s="676"/>
      <c r="F212" s="678"/>
      <c r="G212" s="900"/>
      <c r="H212" s="680"/>
      <c r="I212" s="682"/>
      <c r="J212" s="903"/>
      <c r="K212" s="906"/>
      <c r="L212" s="676"/>
      <c r="M212" s="676"/>
      <c r="N212" s="286"/>
      <c r="O212" s="678"/>
      <c r="P212" s="281"/>
      <c r="Q212" s="282"/>
      <c r="R212" s="283"/>
      <c r="S212" s="281"/>
      <c r="T212" s="281"/>
      <c r="U212" s="689"/>
      <c r="V212" s="897"/>
      <c r="W212" s="707"/>
      <c r="X212" s="2">
        <v>41</v>
      </c>
    </row>
    <row r="213" spans="1:24" s="107" customFormat="1" ht="108" customHeight="1" x14ac:dyDescent="0.3">
      <c r="A213" s="233">
        <v>25</v>
      </c>
      <c r="B213" s="232" t="s">
        <v>56</v>
      </c>
      <c r="C213" s="232" t="s">
        <v>146</v>
      </c>
      <c r="D213" s="232" t="s">
        <v>147</v>
      </c>
      <c r="E213" s="232" t="s">
        <v>280</v>
      </c>
      <c r="F213" s="229">
        <v>45414</v>
      </c>
      <c r="G213" s="231" t="s">
        <v>281</v>
      </c>
      <c r="H213" s="565">
        <v>18970</v>
      </c>
      <c r="I213" s="234">
        <f>IF(X213 = 42, H213 + SUM(S213:S213) - SUM(T213:T213) - SUM(P213:P213) - V213,0)</f>
        <v>0</v>
      </c>
      <c r="J213" s="235">
        <v>235002152355</v>
      </c>
      <c r="K213" s="236" t="s">
        <v>238</v>
      </c>
      <c r="L213" s="232" t="s">
        <v>146</v>
      </c>
      <c r="M213" s="232"/>
      <c r="N213" s="229"/>
      <c r="O213" s="229" t="s">
        <v>194</v>
      </c>
      <c r="P213" s="230">
        <v>18970</v>
      </c>
      <c r="Q213" s="231">
        <v>45418</v>
      </c>
      <c r="R213" s="232"/>
      <c r="S213" s="230"/>
      <c r="T213" s="230"/>
      <c r="U213" s="230"/>
      <c r="V213" s="237"/>
      <c r="W213" s="238"/>
      <c r="X213" s="107">
        <v>42</v>
      </c>
    </row>
    <row r="214" spans="1:24" s="107" customFormat="1" ht="108" x14ac:dyDescent="0.3">
      <c r="A214" s="249">
        <v>26</v>
      </c>
      <c r="B214" s="250" t="s">
        <v>56</v>
      </c>
      <c r="C214" s="250" t="s">
        <v>146</v>
      </c>
      <c r="D214" s="250" t="s">
        <v>147</v>
      </c>
      <c r="E214" s="250" t="s">
        <v>283</v>
      </c>
      <c r="F214" s="251">
        <v>45414</v>
      </c>
      <c r="G214" s="252" t="s">
        <v>282</v>
      </c>
      <c r="H214" s="564">
        <v>8375</v>
      </c>
      <c r="I214" s="254">
        <f>IF(X214 = 43, H214 + SUM(S214:S214) - SUM(T214:T214) - SUM(P214:P214) - V214,0)</f>
        <v>0</v>
      </c>
      <c r="J214" s="255">
        <v>235002152355</v>
      </c>
      <c r="K214" s="256" t="s">
        <v>238</v>
      </c>
      <c r="L214" s="257" t="s">
        <v>146</v>
      </c>
      <c r="M214" s="250"/>
      <c r="N214" s="251"/>
      <c r="O214" s="251" t="s">
        <v>194</v>
      </c>
      <c r="P214" s="253">
        <v>8375</v>
      </c>
      <c r="Q214" s="252">
        <v>45418</v>
      </c>
      <c r="R214" s="250"/>
      <c r="S214" s="253"/>
      <c r="T214" s="253"/>
      <c r="U214" s="253"/>
      <c r="V214" s="258"/>
      <c r="W214" s="259"/>
      <c r="X214" s="107">
        <v>43</v>
      </c>
    </row>
    <row r="215" spans="1:24" s="107" customFormat="1" ht="108" x14ac:dyDescent="0.3">
      <c r="A215" s="239">
        <v>27</v>
      </c>
      <c r="B215" s="240" t="s">
        <v>56</v>
      </c>
      <c r="C215" s="240" t="s">
        <v>146</v>
      </c>
      <c r="D215" s="240" t="s">
        <v>147</v>
      </c>
      <c r="E215" s="240" t="s">
        <v>284</v>
      </c>
      <c r="F215" s="241">
        <v>45415</v>
      </c>
      <c r="G215" s="242" t="s">
        <v>285</v>
      </c>
      <c r="H215" s="549">
        <v>2200</v>
      </c>
      <c r="I215" s="244">
        <f>IF(X215 = 44, H215 + SUM(S215:S215) - SUM(T215:T215) - SUM(P215:P215) - V215,0)</f>
        <v>0</v>
      </c>
      <c r="J215" s="245">
        <v>235305769122</v>
      </c>
      <c r="K215" s="246" t="s">
        <v>160</v>
      </c>
      <c r="L215" s="240" t="s">
        <v>146</v>
      </c>
      <c r="M215" s="240"/>
      <c r="N215" s="241">
        <v>45415</v>
      </c>
      <c r="O215" s="241" t="s">
        <v>194</v>
      </c>
      <c r="P215" s="243">
        <v>2200</v>
      </c>
      <c r="Q215" s="242">
        <v>45427</v>
      </c>
      <c r="R215" s="240"/>
      <c r="S215" s="243"/>
      <c r="T215" s="243"/>
      <c r="U215" s="243"/>
      <c r="V215" s="247"/>
      <c r="W215" s="248"/>
      <c r="X215" s="107">
        <v>44</v>
      </c>
    </row>
    <row r="216" spans="1:24" s="107" customFormat="1" ht="108" customHeight="1" x14ac:dyDescent="0.3">
      <c r="A216" s="730">
        <v>28</v>
      </c>
      <c r="B216" s="714" t="s">
        <v>56</v>
      </c>
      <c r="C216" s="714" t="s">
        <v>146</v>
      </c>
      <c r="D216" s="714" t="s">
        <v>147</v>
      </c>
      <c r="E216" s="714" t="s">
        <v>301</v>
      </c>
      <c r="F216" s="716">
        <v>45457</v>
      </c>
      <c r="G216" s="961" t="s">
        <v>302</v>
      </c>
      <c r="H216" s="718">
        <v>100710</v>
      </c>
      <c r="I216" s="720">
        <f>IF(X216 = 45, H216 + SUM(S216:S218) - SUM(T216:T218) - SUM(P216:P218) - V216,0)</f>
        <v>0</v>
      </c>
      <c r="J216" s="970">
        <v>23530020735</v>
      </c>
      <c r="K216" s="973" t="s">
        <v>156</v>
      </c>
      <c r="L216" s="714" t="s">
        <v>146</v>
      </c>
      <c r="M216" s="714"/>
      <c r="N216" s="325">
        <v>45478</v>
      </c>
      <c r="O216" s="716" t="s">
        <v>194</v>
      </c>
      <c r="P216" s="310">
        <v>11190</v>
      </c>
      <c r="Q216" s="311">
        <v>45489</v>
      </c>
      <c r="R216" s="312"/>
      <c r="S216" s="310"/>
      <c r="T216" s="310"/>
      <c r="U216" s="722"/>
      <c r="V216" s="955"/>
      <c r="W216" s="712"/>
      <c r="X216" s="107">
        <v>45</v>
      </c>
    </row>
    <row r="217" spans="1:24" s="2" customFormat="1" x14ac:dyDescent="0.3">
      <c r="A217" s="966"/>
      <c r="B217" s="958"/>
      <c r="C217" s="958"/>
      <c r="D217" s="958"/>
      <c r="E217" s="958"/>
      <c r="F217" s="960"/>
      <c r="G217" s="962"/>
      <c r="H217" s="964"/>
      <c r="I217" s="965"/>
      <c r="J217" s="971"/>
      <c r="K217" s="974"/>
      <c r="L217" s="958"/>
      <c r="M217" s="958"/>
      <c r="N217" s="326">
        <v>45478</v>
      </c>
      <c r="O217" s="960"/>
      <c r="P217" s="313">
        <v>17904</v>
      </c>
      <c r="Q217" s="314">
        <v>45489</v>
      </c>
      <c r="R217" s="315"/>
      <c r="S217" s="313"/>
      <c r="T217" s="313"/>
      <c r="U217" s="954"/>
      <c r="V217" s="956"/>
      <c r="W217" s="959"/>
      <c r="X217" s="2">
        <v>45</v>
      </c>
    </row>
    <row r="218" spans="1:24" s="2" customFormat="1" x14ac:dyDescent="0.3">
      <c r="A218" s="731"/>
      <c r="B218" s="715"/>
      <c r="C218" s="715"/>
      <c r="D218" s="715"/>
      <c r="E218" s="715"/>
      <c r="F218" s="717"/>
      <c r="G218" s="963"/>
      <c r="H218" s="719"/>
      <c r="I218" s="721"/>
      <c r="J218" s="972"/>
      <c r="K218" s="975"/>
      <c r="L218" s="715"/>
      <c r="M218" s="715"/>
      <c r="N218" s="327">
        <v>45478</v>
      </c>
      <c r="O218" s="717"/>
      <c r="P218" s="320">
        <v>71616</v>
      </c>
      <c r="Q218" s="321">
        <v>45489</v>
      </c>
      <c r="R218" s="322"/>
      <c r="S218" s="320"/>
      <c r="T218" s="320"/>
      <c r="U218" s="723"/>
      <c r="V218" s="957"/>
      <c r="W218" s="713"/>
      <c r="X218" s="2">
        <v>45</v>
      </c>
    </row>
    <row r="219" spans="1:24" s="107" customFormat="1" ht="108" x14ac:dyDescent="0.3">
      <c r="A219" s="295">
        <v>29</v>
      </c>
      <c r="B219" s="296" t="s">
        <v>56</v>
      </c>
      <c r="C219" s="296" t="s">
        <v>146</v>
      </c>
      <c r="D219" s="296" t="s">
        <v>147</v>
      </c>
      <c r="E219" s="296" t="s">
        <v>333</v>
      </c>
      <c r="F219" s="305">
        <v>45489</v>
      </c>
      <c r="G219" s="299" t="s">
        <v>243</v>
      </c>
      <c r="H219" s="551">
        <v>18000</v>
      </c>
      <c r="I219" s="298">
        <f>IF(X219 = 46, H219 + SUM(S219:S219) - SUM(T219:T219) - SUM(P219:P219) - V219,0)</f>
        <v>0</v>
      </c>
      <c r="J219" s="306">
        <v>235002152355</v>
      </c>
      <c r="K219" s="307" t="s">
        <v>238</v>
      </c>
      <c r="L219" s="296" t="s">
        <v>146</v>
      </c>
      <c r="M219" s="296"/>
      <c r="N219" s="305">
        <v>45489</v>
      </c>
      <c r="O219" s="274" t="s">
        <v>194</v>
      </c>
      <c r="P219" s="297">
        <v>18000</v>
      </c>
      <c r="Q219" s="299">
        <v>45489</v>
      </c>
      <c r="R219" s="296"/>
      <c r="S219" s="297"/>
      <c r="T219" s="297"/>
      <c r="U219" s="297"/>
      <c r="V219" s="308"/>
      <c r="W219" s="302"/>
      <c r="X219" s="107">
        <v>46</v>
      </c>
    </row>
    <row r="220" spans="1:24" s="107" customFormat="1" ht="108" x14ac:dyDescent="0.3">
      <c r="A220" s="295">
        <v>30</v>
      </c>
      <c r="B220" s="296" t="s">
        <v>56</v>
      </c>
      <c r="C220" s="296" t="s">
        <v>146</v>
      </c>
      <c r="D220" s="296" t="s">
        <v>147</v>
      </c>
      <c r="E220" s="296" t="s">
        <v>334</v>
      </c>
      <c r="F220" s="305">
        <v>45489</v>
      </c>
      <c r="G220" s="299" t="s">
        <v>243</v>
      </c>
      <c r="H220" s="551">
        <v>85330</v>
      </c>
      <c r="I220" s="298">
        <f>IF(X220 = 47, H220 + SUM(S220:S220) - SUM(T220:T220) - SUM(P220:P220) - V220,0)</f>
        <v>0</v>
      </c>
      <c r="J220" s="306">
        <v>235002152355</v>
      </c>
      <c r="K220" s="307" t="s">
        <v>238</v>
      </c>
      <c r="L220" s="296" t="s">
        <v>146</v>
      </c>
      <c r="M220" s="296"/>
      <c r="N220" s="305">
        <v>45489</v>
      </c>
      <c r="O220" s="274" t="s">
        <v>194</v>
      </c>
      <c r="P220" s="297">
        <v>85330</v>
      </c>
      <c r="Q220" s="299">
        <v>45489</v>
      </c>
      <c r="R220" s="296"/>
      <c r="S220" s="297"/>
      <c r="T220" s="297"/>
      <c r="U220" s="297"/>
      <c r="V220" s="308"/>
      <c r="W220" s="302"/>
      <c r="X220" s="107">
        <v>47</v>
      </c>
    </row>
    <row r="221" spans="1:24" s="107" customFormat="1" ht="108" x14ac:dyDescent="0.3">
      <c r="A221" s="316">
        <v>31</v>
      </c>
      <c r="B221" s="317" t="s">
        <v>56</v>
      </c>
      <c r="C221" s="317" t="s">
        <v>146</v>
      </c>
      <c r="D221" s="317" t="s">
        <v>147</v>
      </c>
      <c r="E221" s="317" t="s">
        <v>346</v>
      </c>
      <c r="F221" s="333">
        <v>45511</v>
      </c>
      <c r="G221" s="328" t="s">
        <v>347</v>
      </c>
      <c r="H221" s="552">
        <v>12000</v>
      </c>
      <c r="I221" s="319">
        <f>IF(X221 = 48, H221 + SUM(S221:S221) - SUM(T221:T221) - SUM(P221:P221) - V221,0)</f>
        <v>0</v>
      </c>
      <c r="J221" s="329">
        <v>235301271520</v>
      </c>
      <c r="K221" s="330" t="s">
        <v>158</v>
      </c>
      <c r="L221" s="317" t="s">
        <v>146</v>
      </c>
      <c r="M221" s="317"/>
      <c r="N221" s="333">
        <v>45511</v>
      </c>
      <c r="O221" s="333" t="s">
        <v>194</v>
      </c>
      <c r="P221" s="318">
        <v>12000</v>
      </c>
      <c r="Q221" s="328">
        <v>45519</v>
      </c>
      <c r="R221" s="317"/>
      <c r="S221" s="318"/>
      <c r="T221" s="318"/>
      <c r="U221" s="318"/>
      <c r="V221" s="331"/>
      <c r="W221" s="324"/>
      <c r="X221" s="107">
        <v>48</v>
      </c>
    </row>
    <row r="222" spans="1:24" s="107" customFormat="1" ht="90" customHeight="1" x14ac:dyDescent="0.3">
      <c r="A222" s="702">
        <v>32</v>
      </c>
      <c r="B222" s="662" t="s">
        <v>56</v>
      </c>
      <c r="C222" s="662" t="s">
        <v>146</v>
      </c>
      <c r="D222" s="662" t="s">
        <v>147</v>
      </c>
      <c r="E222" s="662" t="s">
        <v>348</v>
      </c>
      <c r="F222" s="656">
        <v>45520</v>
      </c>
      <c r="G222" s="967" t="s">
        <v>349</v>
      </c>
      <c r="H222" s="726">
        <v>6000</v>
      </c>
      <c r="I222" s="728">
        <f>IF(X222 = 49, H222 + SUM(S222:S225) - SUM(T222:T225) - SUM(P222:P225) - V222,0)</f>
        <v>0</v>
      </c>
      <c r="J222" s="889">
        <v>231107998282</v>
      </c>
      <c r="K222" s="892" t="s">
        <v>199</v>
      </c>
      <c r="L222" s="662" t="s">
        <v>146</v>
      </c>
      <c r="M222" s="662"/>
      <c r="N222" s="522">
        <v>45565</v>
      </c>
      <c r="O222" s="656" t="s">
        <v>194</v>
      </c>
      <c r="P222" s="513">
        <v>1500</v>
      </c>
      <c r="Q222" s="514">
        <v>45569</v>
      </c>
      <c r="R222" s="515"/>
      <c r="S222" s="513"/>
      <c r="T222" s="513"/>
      <c r="U222" s="659"/>
      <c r="V222" s="939"/>
      <c r="W222" s="668"/>
      <c r="X222" s="107">
        <v>49</v>
      </c>
    </row>
    <row r="223" spans="1:24" s="2" customFormat="1" x14ac:dyDescent="0.3">
      <c r="A223" s="703"/>
      <c r="B223" s="663"/>
      <c r="C223" s="663"/>
      <c r="D223" s="663"/>
      <c r="E223" s="663"/>
      <c r="F223" s="657"/>
      <c r="G223" s="968"/>
      <c r="H223" s="735"/>
      <c r="I223" s="736"/>
      <c r="J223" s="890"/>
      <c r="K223" s="893"/>
      <c r="L223" s="663"/>
      <c r="M223" s="663"/>
      <c r="N223" s="523">
        <v>45596</v>
      </c>
      <c r="O223" s="657"/>
      <c r="P223" s="516">
        <v>1500</v>
      </c>
      <c r="Q223" s="517">
        <v>45636</v>
      </c>
      <c r="R223" s="518"/>
      <c r="S223" s="516"/>
      <c r="T223" s="516"/>
      <c r="U223" s="660"/>
      <c r="V223" s="940"/>
      <c r="W223" s="669"/>
      <c r="X223" s="2">
        <v>49</v>
      </c>
    </row>
    <row r="224" spans="1:24" s="2" customFormat="1" x14ac:dyDescent="0.3">
      <c r="A224" s="703"/>
      <c r="B224" s="663"/>
      <c r="C224" s="663"/>
      <c r="D224" s="663"/>
      <c r="E224" s="663"/>
      <c r="F224" s="657"/>
      <c r="G224" s="968"/>
      <c r="H224" s="735"/>
      <c r="I224" s="736"/>
      <c r="J224" s="890"/>
      <c r="K224" s="893"/>
      <c r="L224" s="663"/>
      <c r="M224" s="663"/>
      <c r="N224" s="523">
        <v>45643</v>
      </c>
      <c r="O224" s="657"/>
      <c r="P224" s="516">
        <v>1500</v>
      </c>
      <c r="Q224" s="517">
        <v>45643</v>
      </c>
      <c r="R224" s="518"/>
      <c r="S224" s="516"/>
      <c r="T224" s="516"/>
      <c r="U224" s="660"/>
      <c r="V224" s="940"/>
      <c r="W224" s="669"/>
      <c r="X224" s="2">
        <v>49</v>
      </c>
    </row>
    <row r="225" spans="1:24" s="2" customFormat="1" x14ac:dyDescent="0.3">
      <c r="A225" s="704"/>
      <c r="B225" s="664"/>
      <c r="C225" s="664"/>
      <c r="D225" s="664"/>
      <c r="E225" s="664"/>
      <c r="F225" s="658"/>
      <c r="G225" s="969"/>
      <c r="H225" s="727"/>
      <c r="I225" s="729"/>
      <c r="J225" s="891"/>
      <c r="K225" s="894"/>
      <c r="L225" s="664"/>
      <c r="M225" s="664"/>
      <c r="N225" s="524">
        <v>45625</v>
      </c>
      <c r="O225" s="658"/>
      <c r="P225" s="519">
        <v>1500</v>
      </c>
      <c r="Q225" s="520">
        <v>45639</v>
      </c>
      <c r="R225" s="521"/>
      <c r="S225" s="519"/>
      <c r="T225" s="519"/>
      <c r="U225" s="661"/>
      <c r="V225" s="941"/>
      <c r="W225" s="670"/>
      <c r="X225" s="2">
        <v>49</v>
      </c>
    </row>
    <row r="226" spans="1:24" s="107" customFormat="1" ht="108" x14ac:dyDescent="0.3">
      <c r="A226" s="338">
        <v>33</v>
      </c>
      <c r="B226" s="335" t="s">
        <v>56</v>
      </c>
      <c r="C226" s="335" t="s">
        <v>146</v>
      </c>
      <c r="D226" s="335" t="s">
        <v>147</v>
      </c>
      <c r="E226" s="335" t="s">
        <v>364</v>
      </c>
      <c r="F226" s="344">
        <v>45527</v>
      </c>
      <c r="G226" s="343" t="s">
        <v>243</v>
      </c>
      <c r="H226" s="553">
        <v>86976</v>
      </c>
      <c r="I226" s="337">
        <f>IF(X226 = 50, H226 + SUM(S226:S226) - SUM(T226:T226) - SUM(P226:P226) - V226,0)</f>
        <v>0</v>
      </c>
      <c r="J226" s="340">
        <v>233907301031</v>
      </c>
      <c r="K226" s="341" t="s">
        <v>365</v>
      </c>
      <c r="L226" s="335" t="s">
        <v>146</v>
      </c>
      <c r="M226" s="335"/>
      <c r="N226" s="344">
        <v>45567</v>
      </c>
      <c r="O226" s="344" t="s">
        <v>194</v>
      </c>
      <c r="P226" s="336">
        <v>86976</v>
      </c>
      <c r="Q226" s="343">
        <v>45572</v>
      </c>
      <c r="R226" s="335"/>
      <c r="S226" s="336"/>
      <c r="T226" s="336"/>
      <c r="U226" s="336"/>
      <c r="V226" s="342"/>
      <c r="W226" s="334"/>
      <c r="X226" s="107">
        <v>50</v>
      </c>
    </row>
    <row r="227" spans="1:24" s="107" customFormat="1" ht="162" customHeight="1" x14ac:dyDescent="0.3">
      <c r="A227" s="702">
        <v>34</v>
      </c>
      <c r="B227" s="662" t="s">
        <v>56</v>
      </c>
      <c r="C227" s="662" t="s">
        <v>146</v>
      </c>
      <c r="D227" s="662" t="s">
        <v>147</v>
      </c>
      <c r="E227" s="662" t="s">
        <v>366</v>
      </c>
      <c r="F227" s="656">
        <v>45534</v>
      </c>
      <c r="G227" s="967" t="s">
        <v>204</v>
      </c>
      <c r="H227" s="726">
        <v>82720</v>
      </c>
      <c r="I227" s="728">
        <f>IF(X227 = 51, H227 + SUM(S227:S235) - SUM(T227:T235) - SUM(P227:P235) - V227,0)</f>
        <v>44660</v>
      </c>
      <c r="J227" s="889">
        <v>235305769122</v>
      </c>
      <c r="K227" s="892" t="s">
        <v>160</v>
      </c>
      <c r="L227" s="662" t="s">
        <v>146</v>
      </c>
      <c r="M227" s="662"/>
      <c r="N227" s="522">
        <v>45565</v>
      </c>
      <c r="O227" s="656" t="s">
        <v>194</v>
      </c>
      <c r="P227" s="513">
        <v>2800</v>
      </c>
      <c r="Q227" s="514">
        <v>45573</v>
      </c>
      <c r="R227" s="515"/>
      <c r="S227" s="513"/>
      <c r="T227" s="513"/>
      <c r="U227" s="659"/>
      <c r="V227" s="939"/>
      <c r="W227" s="668"/>
      <c r="X227" s="107">
        <v>51</v>
      </c>
    </row>
    <row r="228" spans="1:24" s="2" customFormat="1" x14ac:dyDescent="0.3">
      <c r="A228" s="703"/>
      <c r="B228" s="663"/>
      <c r="C228" s="663"/>
      <c r="D228" s="663"/>
      <c r="E228" s="663"/>
      <c r="F228" s="657"/>
      <c r="G228" s="968"/>
      <c r="H228" s="735"/>
      <c r="I228" s="736"/>
      <c r="J228" s="890"/>
      <c r="K228" s="893"/>
      <c r="L228" s="663"/>
      <c r="M228" s="663"/>
      <c r="N228" s="523">
        <v>45565</v>
      </c>
      <c r="O228" s="657"/>
      <c r="P228" s="516">
        <v>3200</v>
      </c>
      <c r="Q228" s="517">
        <v>45573</v>
      </c>
      <c r="R228" s="518"/>
      <c r="S228" s="516"/>
      <c r="T228" s="516"/>
      <c r="U228" s="660"/>
      <c r="V228" s="940"/>
      <c r="W228" s="669"/>
      <c r="X228" s="2">
        <v>51</v>
      </c>
    </row>
    <row r="229" spans="1:24" s="2" customFormat="1" x14ac:dyDescent="0.3">
      <c r="A229" s="703"/>
      <c r="B229" s="663"/>
      <c r="C229" s="663"/>
      <c r="D229" s="663"/>
      <c r="E229" s="663"/>
      <c r="F229" s="657"/>
      <c r="G229" s="968"/>
      <c r="H229" s="735"/>
      <c r="I229" s="736"/>
      <c r="J229" s="890"/>
      <c r="K229" s="893"/>
      <c r="L229" s="663"/>
      <c r="M229" s="663"/>
      <c r="N229" s="523">
        <v>45565</v>
      </c>
      <c r="O229" s="657"/>
      <c r="P229" s="516">
        <v>5850</v>
      </c>
      <c r="Q229" s="525">
        <v>45573</v>
      </c>
      <c r="R229" s="518"/>
      <c r="S229" s="516"/>
      <c r="T229" s="516"/>
      <c r="U229" s="660"/>
      <c r="V229" s="940"/>
      <c r="W229" s="669"/>
      <c r="X229" s="2">
        <v>51</v>
      </c>
    </row>
    <row r="230" spans="1:24" s="2" customFormat="1" x14ac:dyDescent="0.3">
      <c r="A230" s="703"/>
      <c r="B230" s="663"/>
      <c r="C230" s="663"/>
      <c r="D230" s="663"/>
      <c r="E230" s="663"/>
      <c r="F230" s="657"/>
      <c r="G230" s="968"/>
      <c r="H230" s="735"/>
      <c r="I230" s="736"/>
      <c r="J230" s="890"/>
      <c r="K230" s="893"/>
      <c r="L230" s="663"/>
      <c r="M230" s="663"/>
      <c r="N230" s="523">
        <v>45596</v>
      </c>
      <c r="O230" s="657"/>
      <c r="P230" s="516">
        <v>3220</v>
      </c>
      <c r="Q230" s="517">
        <v>45604</v>
      </c>
      <c r="R230" s="518"/>
      <c r="S230" s="516"/>
      <c r="T230" s="516"/>
      <c r="U230" s="660"/>
      <c r="V230" s="940"/>
      <c r="W230" s="669"/>
      <c r="X230" s="2">
        <v>51</v>
      </c>
    </row>
    <row r="231" spans="1:24" s="2" customFormat="1" x14ac:dyDescent="0.3">
      <c r="A231" s="703"/>
      <c r="B231" s="663"/>
      <c r="C231" s="663"/>
      <c r="D231" s="663"/>
      <c r="E231" s="663"/>
      <c r="F231" s="657"/>
      <c r="G231" s="968"/>
      <c r="H231" s="735"/>
      <c r="I231" s="736"/>
      <c r="J231" s="890"/>
      <c r="K231" s="893"/>
      <c r="L231" s="663"/>
      <c r="M231" s="663"/>
      <c r="N231" s="523">
        <v>45596</v>
      </c>
      <c r="O231" s="657"/>
      <c r="P231" s="516">
        <v>3680</v>
      </c>
      <c r="Q231" s="517">
        <v>45604</v>
      </c>
      <c r="R231" s="518"/>
      <c r="S231" s="516"/>
      <c r="T231" s="516"/>
      <c r="U231" s="660"/>
      <c r="V231" s="940"/>
      <c r="W231" s="669"/>
      <c r="X231" s="2">
        <v>51</v>
      </c>
    </row>
    <row r="232" spans="1:24" s="2" customFormat="1" x14ac:dyDescent="0.3">
      <c r="A232" s="703"/>
      <c r="B232" s="663"/>
      <c r="C232" s="663"/>
      <c r="D232" s="663"/>
      <c r="E232" s="663"/>
      <c r="F232" s="657"/>
      <c r="G232" s="968"/>
      <c r="H232" s="735"/>
      <c r="I232" s="736"/>
      <c r="J232" s="890"/>
      <c r="K232" s="893"/>
      <c r="L232" s="663"/>
      <c r="M232" s="663"/>
      <c r="N232" s="523">
        <v>45596</v>
      </c>
      <c r="O232" s="657"/>
      <c r="P232" s="516">
        <v>6370</v>
      </c>
      <c r="Q232" s="517">
        <v>45604</v>
      </c>
      <c r="R232" s="518"/>
      <c r="S232" s="516"/>
      <c r="T232" s="516"/>
      <c r="U232" s="660"/>
      <c r="V232" s="940"/>
      <c r="W232" s="669"/>
      <c r="X232" s="2">
        <v>51</v>
      </c>
    </row>
    <row r="233" spans="1:24" s="2" customFormat="1" x14ac:dyDescent="0.3">
      <c r="A233" s="703"/>
      <c r="B233" s="663"/>
      <c r="C233" s="663"/>
      <c r="D233" s="663"/>
      <c r="E233" s="663"/>
      <c r="F233" s="657"/>
      <c r="G233" s="968"/>
      <c r="H233" s="735"/>
      <c r="I233" s="736"/>
      <c r="J233" s="890"/>
      <c r="K233" s="893"/>
      <c r="L233" s="663"/>
      <c r="M233" s="663"/>
      <c r="N233" s="523">
        <v>45626</v>
      </c>
      <c r="O233" s="657"/>
      <c r="P233" s="516">
        <v>2520</v>
      </c>
      <c r="Q233" s="517">
        <v>45632</v>
      </c>
      <c r="R233" s="518"/>
      <c r="S233" s="516"/>
      <c r="T233" s="516"/>
      <c r="U233" s="660"/>
      <c r="V233" s="940"/>
      <c r="W233" s="669"/>
      <c r="X233" s="2">
        <v>51</v>
      </c>
    </row>
    <row r="234" spans="1:24" s="2" customFormat="1" x14ac:dyDescent="0.3">
      <c r="A234" s="703"/>
      <c r="B234" s="663"/>
      <c r="C234" s="663"/>
      <c r="D234" s="663"/>
      <c r="E234" s="663"/>
      <c r="F234" s="657"/>
      <c r="G234" s="968"/>
      <c r="H234" s="735"/>
      <c r="I234" s="736"/>
      <c r="J234" s="890"/>
      <c r="K234" s="893"/>
      <c r="L234" s="663"/>
      <c r="M234" s="663"/>
      <c r="N234" s="523">
        <v>45626</v>
      </c>
      <c r="O234" s="657"/>
      <c r="P234" s="516">
        <v>2880</v>
      </c>
      <c r="Q234" s="517">
        <v>45632</v>
      </c>
      <c r="R234" s="518"/>
      <c r="S234" s="516"/>
      <c r="T234" s="516"/>
      <c r="U234" s="660"/>
      <c r="V234" s="940"/>
      <c r="W234" s="669"/>
      <c r="X234" s="2">
        <v>51</v>
      </c>
    </row>
    <row r="235" spans="1:24" s="2" customFormat="1" x14ac:dyDescent="0.3">
      <c r="A235" s="704"/>
      <c r="B235" s="664"/>
      <c r="C235" s="664"/>
      <c r="D235" s="664"/>
      <c r="E235" s="664"/>
      <c r="F235" s="658"/>
      <c r="G235" s="969"/>
      <c r="H235" s="727"/>
      <c r="I235" s="729"/>
      <c r="J235" s="891"/>
      <c r="K235" s="894"/>
      <c r="L235" s="664"/>
      <c r="M235" s="664"/>
      <c r="N235" s="523">
        <v>45626</v>
      </c>
      <c r="O235" s="658"/>
      <c r="P235" s="519">
        <v>7540</v>
      </c>
      <c r="Q235" s="520">
        <v>45632</v>
      </c>
      <c r="R235" s="521"/>
      <c r="S235" s="519"/>
      <c r="T235" s="519"/>
      <c r="U235" s="661"/>
      <c r="V235" s="941"/>
      <c r="W235" s="670"/>
      <c r="X235" s="2">
        <v>51</v>
      </c>
    </row>
    <row r="236" spans="1:24" s="107" customFormat="1" ht="90" customHeight="1" x14ac:dyDescent="0.3">
      <c r="A236" s="617">
        <v>35</v>
      </c>
      <c r="B236" s="626" t="s">
        <v>56</v>
      </c>
      <c r="C236" s="626" t="s">
        <v>146</v>
      </c>
      <c r="D236" s="626" t="s">
        <v>147</v>
      </c>
      <c r="E236" s="626" t="s">
        <v>126</v>
      </c>
      <c r="F236" s="620">
        <v>45537</v>
      </c>
      <c r="G236" s="740" t="s">
        <v>371</v>
      </c>
      <c r="H236" s="632">
        <v>480608</v>
      </c>
      <c r="I236" s="635">
        <f>IF(X236 = 52, H236 + SUM(S236:S257) - SUM(T236:T257) - SUM(P236:P257) - V236,0)</f>
        <v>1.4551915228366852E-11</v>
      </c>
      <c r="J236" s="743">
        <v>2353020735</v>
      </c>
      <c r="K236" s="746" t="s">
        <v>156</v>
      </c>
      <c r="L236" s="626" t="s">
        <v>146</v>
      </c>
      <c r="M236" s="626"/>
      <c r="N236" s="468">
        <v>45562</v>
      </c>
      <c r="O236" s="620" t="s">
        <v>194</v>
      </c>
      <c r="P236" s="462">
        <v>134552</v>
      </c>
      <c r="Q236" s="463">
        <v>45582</v>
      </c>
      <c r="R236" s="464"/>
      <c r="S236" s="462"/>
      <c r="T236" s="462"/>
      <c r="U236" s="623" t="s">
        <v>411</v>
      </c>
      <c r="V236" s="737">
        <v>84153.96</v>
      </c>
      <c r="W236" s="638"/>
      <c r="X236" s="107">
        <v>52</v>
      </c>
    </row>
    <row r="237" spans="1:24" s="2" customFormat="1" x14ac:dyDescent="0.3">
      <c r="A237" s="618"/>
      <c r="B237" s="627"/>
      <c r="C237" s="627"/>
      <c r="D237" s="627"/>
      <c r="E237" s="627"/>
      <c r="F237" s="621"/>
      <c r="G237" s="741"/>
      <c r="H237" s="633"/>
      <c r="I237" s="636"/>
      <c r="J237" s="744"/>
      <c r="K237" s="747"/>
      <c r="L237" s="627"/>
      <c r="M237" s="627"/>
      <c r="N237" s="473">
        <v>45565</v>
      </c>
      <c r="O237" s="621"/>
      <c r="P237" s="470">
        <v>12986.74</v>
      </c>
      <c r="Q237" s="471">
        <v>45582</v>
      </c>
      <c r="R237" s="472"/>
      <c r="S237" s="470"/>
      <c r="T237" s="470"/>
      <c r="U237" s="624"/>
      <c r="V237" s="738"/>
      <c r="W237" s="639"/>
      <c r="X237" s="2">
        <v>52</v>
      </c>
    </row>
    <row r="238" spans="1:24" s="2" customFormat="1" x14ac:dyDescent="0.3">
      <c r="A238" s="618"/>
      <c r="B238" s="627"/>
      <c r="C238" s="627"/>
      <c r="D238" s="627"/>
      <c r="E238" s="627"/>
      <c r="F238" s="621"/>
      <c r="G238" s="741"/>
      <c r="H238" s="633"/>
      <c r="I238" s="636"/>
      <c r="J238" s="744"/>
      <c r="K238" s="747"/>
      <c r="L238" s="627"/>
      <c r="M238" s="627"/>
      <c r="N238" s="473">
        <v>45565</v>
      </c>
      <c r="O238" s="621"/>
      <c r="P238" s="470">
        <v>10625.66</v>
      </c>
      <c r="Q238" s="474">
        <v>45582</v>
      </c>
      <c r="R238" s="472"/>
      <c r="S238" s="470"/>
      <c r="T238" s="470"/>
      <c r="U238" s="624"/>
      <c r="V238" s="738"/>
      <c r="W238" s="639"/>
      <c r="X238" s="2">
        <v>52</v>
      </c>
    </row>
    <row r="239" spans="1:24" s="2" customFormat="1" x14ac:dyDescent="0.3">
      <c r="A239" s="618"/>
      <c r="B239" s="627"/>
      <c r="C239" s="627"/>
      <c r="D239" s="627"/>
      <c r="E239" s="627"/>
      <c r="F239" s="621"/>
      <c r="G239" s="741"/>
      <c r="H239" s="633"/>
      <c r="I239" s="636"/>
      <c r="J239" s="744"/>
      <c r="K239" s="747"/>
      <c r="L239" s="627"/>
      <c r="M239" s="627"/>
      <c r="N239" s="473">
        <v>45565</v>
      </c>
      <c r="O239" s="621"/>
      <c r="P239" s="470">
        <v>7560</v>
      </c>
      <c r="Q239" s="471">
        <v>45582</v>
      </c>
      <c r="R239" s="472"/>
      <c r="S239" s="470"/>
      <c r="T239" s="470"/>
      <c r="U239" s="624"/>
      <c r="V239" s="738"/>
      <c r="W239" s="639"/>
      <c r="X239" s="2">
        <v>52</v>
      </c>
    </row>
    <row r="240" spans="1:24" s="2" customFormat="1" x14ac:dyDescent="0.3">
      <c r="A240" s="618"/>
      <c r="B240" s="627"/>
      <c r="C240" s="627"/>
      <c r="D240" s="627"/>
      <c r="E240" s="627"/>
      <c r="F240" s="621"/>
      <c r="G240" s="741"/>
      <c r="H240" s="633"/>
      <c r="I240" s="636"/>
      <c r="J240" s="744"/>
      <c r="K240" s="747"/>
      <c r="L240" s="627"/>
      <c r="M240" s="627"/>
      <c r="N240" s="473">
        <v>45565</v>
      </c>
      <c r="O240" s="621"/>
      <c r="P240" s="470">
        <v>2234.4</v>
      </c>
      <c r="Q240" s="474">
        <v>45582</v>
      </c>
      <c r="R240" s="472"/>
      <c r="S240" s="470"/>
      <c r="T240" s="470"/>
      <c r="U240" s="624"/>
      <c r="V240" s="738"/>
      <c r="W240" s="639"/>
      <c r="X240" s="2">
        <v>52</v>
      </c>
    </row>
    <row r="241" spans="1:24" s="2" customFormat="1" x14ac:dyDescent="0.3">
      <c r="A241" s="618"/>
      <c r="B241" s="627"/>
      <c r="C241" s="627"/>
      <c r="D241" s="627"/>
      <c r="E241" s="627"/>
      <c r="F241" s="621"/>
      <c r="G241" s="741"/>
      <c r="H241" s="633"/>
      <c r="I241" s="636"/>
      <c r="J241" s="744"/>
      <c r="K241" s="747"/>
      <c r="L241" s="627"/>
      <c r="M241" s="627"/>
      <c r="N241" s="473">
        <v>45565</v>
      </c>
      <c r="O241" s="621"/>
      <c r="P241" s="470">
        <v>1828.56</v>
      </c>
      <c r="Q241" s="471">
        <v>45582</v>
      </c>
      <c r="R241" s="472"/>
      <c r="S241" s="470"/>
      <c r="T241" s="470"/>
      <c r="U241" s="624"/>
      <c r="V241" s="738"/>
      <c r="W241" s="639"/>
      <c r="X241" s="2">
        <v>52</v>
      </c>
    </row>
    <row r="242" spans="1:24" s="2" customFormat="1" x14ac:dyDescent="0.3">
      <c r="A242" s="618"/>
      <c r="B242" s="627"/>
      <c r="C242" s="627"/>
      <c r="D242" s="627"/>
      <c r="E242" s="627"/>
      <c r="F242" s="621"/>
      <c r="G242" s="741"/>
      <c r="H242" s="633"/>
      <c r="I242" s="636"/>
      <c r="J242" s="744"/>
      <c r="K242" s="747"/>
      <c r="L242" s="627"/>
      <c r="M242" s="627"/>
      <c r="N242" s="473">
        <v>45565</v>
      </c>
      <c r="O242" s="621"/>
      <c r="P242" s="470">
        <v>1980</v>
      </c>
      <c r="Q242" s="474">
        <v>45582</v>
      </c>
      <c r="R242" s="472"/>
      <c r="S242" s="470"/>
      <c r="T242" s="470"/>
      <c r="U242" s="624"/>
      <c r="V242" s="738"/>
      <c r="W242" s="639"/>
      <c r="X242" s="2">
        <v>52</v>
      </c>
    </row>
    <row r="243" spans="1:24" s="2" customFormat="1" x14ac:dyDescent="0.3">
      <c r="A243" s="618"/>
      <c r="B243" s="627"/>
      <c r="C243" s="627"/>
      <c r="D243" s="627"/>
      <c r="E243" s="627"/>
      <c r="F243" s="621"/>
      <c r="G243" s="741"/>
      <c r="H243" s="633"/>
      <c r="I243" s="636"/>
      <c r="J243" s="744"/>
      <c r="K243" s="747"/>
      <c r="L243" s="627"/>
      <c r="M243" s="627"/>
      <c r="N243" s="473">
        <v>45565</v>
      </c>
      <c r="O243" s="621"/>
      <c r="P243" s="470">
        <v>5059.8</v>
      </c>
      <c r="Q243" s="471">
        <v>45582</v>
      </c>
      <c r="R243" s="472"/>
      <c r="S243" s="470"/>
      <c r="T243" s="470"/>
      <c r="U243" s="624"/>
      <c r="V243" s="738"/>
      <c r="W243" s="639"/>
      <c r="X243" s="2">
        <v>52</v>
      </c>
    </row>
    <row r="244" spans="1:24" s="2" customFormat="1" x14ac:dyDescent="0.3">
      <c r="A244" s="618"/>
      <c r="B244" s="627"/>
      <c r="C244" s="627"/>
      <c r="D244" s="627"/>
      <c r="E244" s="627"/>
      <c r="F244" s="621"/>
      <c r="G244" s="741"/>
      <c r="H244" s="633"/>
      <c r="I244" s="636"/>
      <c r="J244" s="744"/>
      <c r="K244" s="747"/>
      <c r="L244" s="627"/>
      <c r="M244" s="627"/>
      <c r="N244" s="473">
        <v>45565</v>
      </c>
      <c r="O244" s="621"/>
      <c r="P244" s="470">
        <v>1620</v>
      </c>
      <c r="Q244" s="474">
        <v>45582</v>
      </c>
      <c r="R244" s="472"/>
      <c r="S244" s="470"/>
      <c r="T244" s="470"/>
      <c r="U244" s="624"/>
      <c r="V244" s="738"/>
      <c r="W244" s="639"/>
      <c r="X244" s="2">
        <v>52</v>
      </c>
    </row>
    <row r="245" spans="1:24" s="2" customFormat="1" x14ac:dyDescent="0.3">
      <c r="A245" s="618"/>
      <c r="B245" s="627"/>
      <c r="C245" s="627"/>
      <c r="D245" s="627"/>
      <c r="E245" s="627"/>
      <c r="F245" s="621"/>
      <c r="G245" s="741"/>
      <c r="H245" s="633"/>
      <c r="I245" s="636"/>
      <c r="J245" s="744"/>
      <c r="K245" s="747"/>
      <c r="L245" s="627"/>
      <c r="M245" s="627"/>
      <c r="N245" s="473">
        <v>45565</v>
      </c>
      <c r="O245" s="621"/>
      <c r="P245" s="470">
        <v>923.4</v>
      </c>
      <c r="Q245" s="471">
        <v>45582</v>
      </c>
      <c r="R245" s="472"/>
      <c r="S245" s="470"/>
      <c r="T245" s="470"/>
      <c r="U245" s="624"/>
      <c r="V245" s="738"/>
      <c r="W245" s="639"/>
      <c r="X245" s="2">
        <v>52</v>
      </c>
    </row>
    <row r="246" spans="1:24" s="2" customFormat="1" x14ac:dyDescent="0.3">
      <c r="A246" s="618"/>
      <c r="B246" s="627"/>
      <c r="C246" s="627"/>
      <c r="D246" s="627"/>
      <c r="E246" s="627"/>
      <c r="F246" s="621"/>
      <c r="G246" s="741"/>
      <c r="H246" s="633"/>
      <c r="I246" s="636"/>
      <c r="J246" s="744"/>
      <c r="K246" s="747"/>
      <c r="L246" s="627"/>
      <c r="M246" s="627"/>
      <c r="N246" s="473">
        <v>45565</v>
      </c>
      <c r="O246" s="621"/>
      <c r="P246" s="470">
        <v>450</v>
      </c>
      <c r="Q246" s="474">
        <v>45582</v>
      </c>
      <c r="R246" s="472"/>
      <c r="S246" s="470"/>
      <c r="T246" s="470"/>
      <c r="U246" s="624"/>
      <c r="V246" s="738"/>
      <c r="W246" s="639"/>
      <c r="X246" s="2">
        <v>52</v>
      </c>
    </row>
    <row r="247" spans="1:24" s="2" customFormat="1" x14ac:dyDescent="0.3">
      <c r="A247" s="618"/>
      <c r="B247" s="627"/>
      <c r="C247" s="627"/>
      <c r="D247" s="627"/>
      <c r="E247" s="627"/>
      <c r="F247" s="621"/>
      <c r="G247" s="741"/>
      <c r="H247" s="633"/>
      <c r="I247" s="636"/>
      <c r="J247" s="744"/>
      <c r="K247" s="747"/>
      <c r="L247" s="627"/>
      <c r="M247" s="627"/>
      <c r="N247" s="473">
        <v>45565</v>
      </c>
      <c r="O247" s="621"/>
      <c r="P247" s="470">
        <v>14678.4</v>
      </c>
      <c r="Q247" s="471">
        <v>45582</v>
      </c>
      <c r="R247" s="472"/>
      <c r="S247" s="470"/>
      <c r="T247" s="470"/>
      <c r="U247" s="624"/>
      <c r="V247" s="738"/>
      <c r="W247" s="639"/>
      <c r="X247" s="2">
        <v>52</v>
      </c>
    </row>
    <row r="248" spans="1:24" s="2" customFormat="1" x14ac:dyDescent="0.3">
      <c r="A248" s="618"/>
      <c r="B248" s="627"/>
      <c r="C248" s="627"/>
      <c r="D248" s="627"/>
      <c r="E248" s="627"/>
      <c r="F248" s="621"/>
      <c r="G248" s="741"/>
      <c r="H248" s="633"/>
      <c r="I248" s="636"/>
      <c r="J248" s="744"/>
      <c r="K248" s="747"/>
      <c r="L248" s="627"/>
      <c r="M248" s="627"/>
      <c r="N248" s="473">
        <v>45565</v>
      </c>
      <c r="O248" s="621"/>
      <c r="P248" s="470">
        <v>3669.6</v>
      </c>
      <c r="Q248" s="474">
        <v>45582</v>
      </c>
      <c r="R248" s="472"/>
      <c r="S248" s="470"/>
      <c r="T248" s="470"/>
      <c r="U248" s="624"/>
      <c r="V248" s="738"/>
      <c r="W248" s="639"/>
      <c r="X248" s="2">
        <v>52</v>
      </c>
    </row>
    <row r="249" spans="1:24" s="2" customFormat="1" x14ac:dyDescent="0.3">
      <c r="A249" s="618"/>
      <c r="B249" s="627"/>
      <c r="C249" s="627"/>
      <c r="D249" s="627"/>
      <c r="E249" s="627"/>
      <c r="F249" s="621"/>
      <c r="G249" s="741"/>
      <c r="H249" s="633"/>
      <c r="I249" s="636"/>
      <c r="J249" s="744"/>
      <c r="K249" s="747"/>
      <c r="L249" s="627"/>
      <c r="M249" s="627"/>
      <c r="N249" s="473">
        <v>45590</v>
      </c>
      <c r="O249" s="621"/>
      <c r="P249" s="470">
        <v>13662.34</v>
      </c>
      <c r="Q249" s="471">
        <v>45602</v>
      </c>
      <c r="R249" s="472"/>
      <c r="S249" s="470"/>
      <c r="T249" s="470"/>
      <c r="U249" s="624"/>
      <c r="V249" s="738"/>
      <c r="W249" s="639"/>
      <c r="X249" s="2">
        <v>52</v>
      </c>
    </row>
    <row r="250" spans="1:24" s="2" customFormat="1" x14ac:dyDescent="0.3">
      <c r="A250" s="618"/>
      <c r="B250" s="627"/>
      <c r="C250" s="627"/>
      <c r="D250" s="627"/>
      <c r="E250" s="627"/>
      <c r="F250" s="621"/>
      <c r="G250" s="741"/>
      <c r="H250" s="633"/>
      <c r="I250" s="636"/>
      <c r="J250" s="744"/>
      <c r="K250" s="747"/>
      <c r="L250" s="627"/>
      <c r="M250" s="627"/>
      <c r="N250" s="473">
        <v>45590</v>
      </c>
      <c r="O250" s="621"/>
      <c r="P250" s="470">
        <v>16698.18</v>
      </c>
      <c r="Q250" s="471">
        <v>45602</v>
      </c>
      <c r="R250" s="472"/>
      <c r="S250" s="470"/>
      <c r="T250" s="470"/>
      <c r="U250" s="624"/>
      <c r="V250" s="738"/>
      <c r="W250" s="639"/>
      <c r="X250" s="2">
        <v>52</v>
      </c>
    </row>
    <row r="251" spans="1:24" s="2" customFormat="1" x14ac:dyDescent="0.3">
      <c r="A251" s="618"/>
      <c r="B251" s="627"/>
      <c r="C251" s="627"/>
      <c r="D251" s="627"/>
      <c r="E251" s="627"/>
      <c r="F251" s="621"/>
      <c r="G251" s="741"/>
      <c r="H251" s="633"/>
      <c r="I251" s="636"/>
      <c r="J251" s="744"/>
      <c r="K251" s="747"/>
      <c r="L251" s="627"/>
      <c r="M251" s="627"/>
      <c r="N251" s="473">
        <v>45590</v>
      </c>
      <c r="O251" s="621"/>
      <c r="P251" s="470">
        <v>132467</v>
      </c>
      <c r="Q251" s="471">
        <v>45602</v>
      </c>
      <c r="R251" s="472"/>
      <c r="S251" s="470"/>
      <c r="T251" s="470"/>
      <c r="U251" s="624"/>
      <c r="V251" s="738"/>
      <c r="W251" s="639"/>
      <c r="X251" s="2">
        <v>52</v>
      </c>
    </row>
    <row r="252" spans="1:24" s="2" customFormat="1" x14ac:dyDescent="0.3">
      <c r="A252" s="618"/>
      <c r="B252" s="627"/>
      <c r="C252" s="627"/>
      <c r="D252" s="627"/>
      <c r="E252" s="627"/>
      <c r="F252" s="621"/>
      <c r="G252" s="741"/>
      <c r="H252" s="633"/>
      <c r="I252" s="636"/>
      <c r="J252" s="744"/>
      <c r="K252" s="747"/>
      <c r="L252" s="627"/>
      <c r="M252" s="627"/>
      <c r="N252" s="473">
        <v>45590</v>
      </c>
      <c r="O252" s="621"/>
      <c r="P252" s="470">
        <v>10410</v>
      </c>
      <c r="Q252" s="471">
        <v>45602</v>
      </c>
      <c r="R252" s="472"/>
      <c r="S252" s="470"/>
      <c r="T252" s="470"/>
      <c r="U252" s="624"/>
      <c r="V252" s="738"/>
      <c r="W252" s="639"/>
      <c r="X252" s="2">
        <v>52</v>
      </c>
    </row>
    <row r="253" spans="1:24" s="2" customFormat="1" x14ac:dyDescent="0.3">
      <c r="A253" s="618"/>
      <c r="B253" s="627"/>
      <c r="C253" s="627"/>
      <c r="D253" s="627"/>
      <c r="E253" s="627"/>
      <c r="F253" s="621"/>
      <c r="G253" s="741"/>
      <c r="H253" s="633"/>
      <c r="I253" s="636"/>
      <c r="J253" s="744"/>
      <c r="K253" s="747"/>
      <c r="L253" s="627"/>
      <c r="M253" s="627"/>
      <c r="N253" s="473">
        <v>45590</v>
      </c>
      <c r="O253" s="621"/>
      <c r="P253" s="470">
        <v>6673.96</v>
      </c>
      <c r="Q253" s="471">
        <v>45602</v>
      </c>
      <c r="R253" s="472"/>
      <c r="S253" s="470"/>
      <c r="T253" s="470"/>
      <c r="U253" s="624"/>
      <c r="V253" s="738"/>
      <c r="W253" s="639"/>
      <c r="X253" s="2">
        <v>52</v>
      </c>
    </row>
    <row r="254" spans="1:24" s="2" customFormat="1" x14ac:dyDescent="0.3">
      <c r="A254" s="618"/>
      <c r="B254" s="627"/>
      <c r="C254" s="627"/>
      <c r="D254" s="627"/>
      <c r="E254" s="627"/>
      <c r="F254" s="621"/>
      <c r="G254" s="741"/>
      <c r="H254" s="633"/>
      <c r="I254" s="636"/>
      <c r="J254" s="744"/>
      <c r="K254" s="747"/>
      <c r="L254" s="627"/>
      <c r="M254" s="627"/>
      <c r="N254" s="473">
        <v>45590</v>
      </c>
      <c r="O254" s="621"/>
      <c r="P254" s="470">
        <v>2250</v>
      </c>
      <c r="Q254" s="471">
        <v>45602</v>
      </c>
      <c r="R254" s="472"/>
      <c r="S254" s="470"/>
      <c r="T254" s="470"/>
      <c r="U254" s="624"/>
      <c r="V254" s="738"/>
      <c r="W254" s="639"/>
      <c r="X254" s="2">
        <v>52</v>
      </c>
    </row>
    <row r="255" spans="1:24" s="2" customFormat="1" x14ac:dyDescent="0.3">
      <c r="A255" s="618"/>
      <c r="B255" s="627"/>
      <c r="C255" s="627"/>
      <c r="D255" s="627"/>
      <c r="E255" s="627"/>
      <c r="F255" s="621"/>
      <c r="G255" s="741"/>
      <c r="H255" s="633"/>
      <c r="I255" s="636"/>
      <c r="J255" s="744"/>
      <c r="K255" s="747"/>
      <c r="L255" s="627"/>
      <c r="M255" s="627"/>
      <c r="N255" s="473">
        <v>45590</v>
      </c>
      <c r="O255" s="621"/>
      <c r="P255" s="470">
        <v>12899.2</v>
      </c>
      <c r="Q255" s="471">
        <v>45602</v>
      </c>
      <c r="R255" s="472"/>
      <c r="S255" s="470"/>
      <c r="T255" s="470"/>
      <c r="U255" s="624"/>
      <c r="V255" s="738"/>
      <c r="W255" s="639"/>
      <c r="X255" s="2">
        <v>52</v>
      </c>
    </row>
    <row r="256" spans="1:24" s="2" customFormat="1" x14ac:dyDescent="0.3">
      <c r="A256" s="618"/>
      <c r="B256" s="627"/>
      <c r="C256" s="627"/>
      <c r="D256" s="627"/>
      <c r="E256" s="627"/>
      <c r="F256" s="621"/>
      <c r="G256" s="741"/>
      <c r="H256" s="633"/>
      <c r="I256" s="636"/>
      <c r="J256" s="744"/>
      <c r="K256" s="747"/>
      <c r="L256" s="627"/>
      <c r="M256" s="627"/>
      <c r="N256" s="473">
        <v>45590</v>
      </c>
      <c r="O256" s="621"/>
      <c r="P256" s="470">
        <v>3224.8</v>
      </c>
      <c r="Q256" s="471">
        <v>45602</v>
      </c>
      <c r="R256" s="472"/>
      <c r="S256" s="470"/>
      <c r="T256" s="470"/>
      <c r="U256" s="624"/>
      <c r="V256" s="738"/>
      <c r="W256" s="639"/>
      <c r="X256" s="2">
        <v>52</v>
      </c>
    </row>
    <row r="257" spans="1:24" s="2" customFormat="1" x14ac:dyDescent="0.3">
      <c r="A257" s="619"/>
      <c r="B257" s="628"/>
      <c r="C257" s="628"/>
      <c r="D257" s="628"/>
      <c r="E257" s="628"/>
      <c r="F257" s="622"/>
      <c r="G257" s="742"/>
      <c r="H257" s="634"/>
      <c r="I257" s="637"/>
      <c r="J257" s="745"/>
      <c r="K257" s="748"/>
      <c r="L257" s="628"/>
      <c r="M257" s="628"/>
      <c r="N257" s="469"/>
      <c r="O257" s="622"/>
      <c r="P257" s="465"/>
      <c r="Q257" s="466"/>
      <c r="R257" s="467"/>
      <c r="S257" s="465"/>
      <c r="T257" s="465"/>
      <c r="U257" s="625"/>
      <c r="V257" s="739"/>
      <c r="W257" s="640"/>
      <c r="X257" s="2">
        <v>52</v>
      </c>
    </row>
    <row r="258" spans="1:24" s="107" customFormat="1" ht="90" customHeight="1" x14ac:dyDescent="0.3">
      <c r="A258" s="797">
        <v>36</v>
      </c>
      <c r="B258" s="775" t="s">
        <v>56</v>
      </c>
      <c r="C258" s="775" t="s">
        <v>146</v>
      </c>
      <c r="D258" s="775" t="s">
        <v>147</v>
      </c>
      <c r="E258" s="775" t="s">
        <v>125</v>
      </c>
      <c r="F258" s="777">
        <v>45537</v>
      </c>
      <c r="G258" s="779" t="s">
        <v>371</v>
      </c>
      <c r="H258" s="781">
        <v>52200</v>
      </c>
      <c r="I258" s="783">
        <f>IF(X258 = 53, H258 + SUM(S258:S259) - SUM(T258:T259) - SUM(P258:P259) - V258,0)</f>
        <v>0</v>
      </c>
      <c r="J258" s="785">
        <v>2353020735</v>
      </c>
      <c r="K258" s="787" t="s">
        <v>156</v>
      </c>
      <c r="L258" s="775" t="s">
        <v>146</v>
      </c>
      <c r="M258" s="775"/>
      <c r="N258" s="406">
        <v>45565</v>
      </c>
      <c r="O258" s="777" t="s">
        <v>194</v>
      </c>
      <c r="P258" s="400">
        <v>12141</v>
      </c>
      <c r="Q258" s="401">
        <v>45582</v>
      </c>
      <c r="R258" s="402"/>
      <c r="S258" s="400"/>
      <c r="T258" s="400"/>
      <c r="U258" s="799" t="s">
        <v>411</v>
      </c>
      <c r="V258" s="801">
        <v>28773</v>
      </c>
      <c r="W258" s="773"/>
      <c r="X258" s="107">
        <v>53</v>
      </c>
    </row>
    <row r="259" spans="1:24" s="2" customFormat="1" x14ac:dyDescent="0.3">
      <c r="A259" s="798"/>
      <c r="B259" s="776"/>
      <c r="C259" s="776"/>
      <c r="D259" s="776"/>
      <c r="E259" s="776"/>
      <c r="F259" s="778"/>
      <c r="G259" s="780"/>
      <c r="H259" s="782"/>
      <c r="I259" s="784"/>
      <c r="J259" s="786"/>
      <c r="K259" s="788"/>
      <c r="L259" s="776"/>
      <c r="M259" s="776"/>
      <c r="N259" s="407">
        <v>45590</v>
      </c>
      <c r="O259" s="778"/>
      <c r="P259" s="403">
        <v>11286</v>
      </c>
      <c r="Q259" s="404">
        <v>45602</v>
      </c>
      <c r="R259" s="405"/>
      <c r="S259" s="403"/>
      <c r="T259" s="403"/>
      <c r="U259" s="800"/>
      <c r="V259" s="802"/>
      <c r="W259" s="774"/>
      <c r="X259" s="2">
        <v>53</v>
      </c>
    </row>
    <row r="260" spans="1:24" s="107" customFormat="1" ht="108" x14ac:dyDescent="0.3">
      <c r="A260" s="338">
        <v>37</v>
      </c>
      <c r="B260" s="335" t="s">
        <v>56</v>
      </c>
      <c r="C260" s="335" t="s">
        <v>146</v>
      </c>
      <c r="D260" s="335" t="s">
        <v>147</v>
      </c>
      <c r="E260" s="335" t="s">
        <v>372</v>
      </c>
      <c r="F260" s="344">
        <v>45540</v>
      </c>
      <c r="G260" s="343" t="s">
        <v>243</v>
      </c>
      <c r="H260" s="553">
        <v>10200</v>
      </c>
      <c r="I260" s="337">
        <f>IF(X260 = 54, H260 + SUM(S260:S260) - SUM(T260:T260) - SUM(P260:P260) - V260,0)</f>
        <v>0</v>
      </c>
      <c r="J260" s="340">
        <v>233907301031</v>
      </c>
      <c r="K260" s="341" t="s">
        <v>365</v>
      </c>
      <c r="L260" s="335" t="s">
        <v>146</v>
      </c>
      <c r="M260" s="335"/>
      <c r="N260" s="344">
        <v>45567</v>
      </c>
      <c r="O260" s="344" t="s">
        <v>194</v>
      </c>
      <c r="P260" s="336">
        <v>10200</v>
      </c>
      <c r="Q260" s="343">
        <v>45573</v>
      </c>
      <c r="R260" s="335"/>
      <c r="S260" s="336"/>
      <c r="T260" s="336"/>
      <c r="U260" s="336"/>
      <c r="V260" s="342"/>
      <c r="W260" s="334"/>
      <c r="X260" s="107">
        <v>54</v>
      </c>
    </row>
    <row r="261" spans="1:24" s="107" customFormat="1" ht="108" x14ac:dyDescent="0.3">
      <c r="A261" s="338">
        <v>38</v>
      </c>
      <c r="B261" s="335" t="s">
        <v>56</v>
      </c>
      <c r="C261" s="335" t="s">
        <v>146</v>
      </c>
      <c r="D261" s="335" t="s">
        <v>147</v>
      </c>
      <c r="E261" s="335" t="s">
        <v>374</v>
      </c>
      <c r="F261" s="344">
        <v>45548</v>
      </c>
      <c r="G261" s="343" t="s">
        <v>243</v>
      </c>
      <c r="H261" s="553">
        <v>22275.88</v>
      </c>
      <c r="I261" s="337">
        <f>IF(X261 = 55, H261 + SUM(S261:S261) - SUM(T261:T261) - SUM(P261:P261) - V261,0)</f>
        <v>0</v>
      </c>
      <c r="J261" s="340">
        <v>235002152355</v>
      </c>
      <c r="K261" s="341" t="s">
        <v>238</v>
      </c>
      <c r="L261" s="335" t="s">
        <v>146</v>
      </c>
      <c r="M261" s="335"/>
      <c r="N261" s="344">
        <v>45548</v>
      </c>
      <c r="O261" s="344" t="s">
        <v>194</v>
      </c>
      <c r="P261" s="336">
        <v>22275.88</v>
      </c>
      <c r="Q261" s="343">
        <v>45551</v>
      </c>
      <c r="R261" s="335"/>
      <c r="S261" s="336"/>
      <c r="T261" s="336"/>
      <c r="U261" s="336"/>
      <c r="V261" s="342"/>
      <c r="W261" s="334"/>
      <c r="X261" s="107">
        <v>55</v>
      </c>
    </row>
    <row r="262" spans="1:24" s="107" customFormat="1" ht="90" customHeight="1" x14ac:dyDescent="0.3">
      <c r="A262" s="693">
        <v>39</v>
      </c>
      <c r="B262" s="647" t="s">
        <v>56</v>
      </c>
      <c r="C262" s="647" t="s">
        <v>146</v>
      </c>
      <c r="D262" s="647" t="s">
        <v>147</v>
      </c>
      <c r="E262" s="647" t="s">
        <v>377</v>
      </c>
      <c r="F262" s="641">
        <v>45558</v>
      </c>
      <c r="G262" s="791" t="s">
        <v>378</v>
      </c>
      <c r="H262" s="696">
        <v>21772.799999999999</v>
      </c>
      <c r="I262" s="699">
        <f>IF(X262 = 56, H262 + SUM(S262:S263) - SUM(T262:T263) - SUM(P262:P263) - V262,0)</f>
        <v>0</v>
      </c>
      <c r="J262" s="793">
        <v>2304067057</v>
      </c>
      <c r="K262" s="795" t="s">
        <v>379</v>
      </c>
      <c r="L262" s="647" t="s">
        <v>146</v>
      </c>
      <c r="M262" s="647"/>
      <c r="N262" s="397">
        <v>45565</v>
      </c>
      <c r="O262" s="641" t="s">
        <v>194</v>
      </c>
      <c r="P262" s="388">
        <v>12096</v>
      </c>
      <c r="Q262" s="389">
        <v>45569</v>
      </c>
      <c r="R262" s="390"/>
      <c r="S262" s="388"/>
      <c r="T262" s="388"/>
      <c r="U262" s="644"/>
      <c r="V262" s="789"/>
      <c r="W262" s="653"/>
      <c r="X262" s="107">
        <v>56</v>
      </c>
    </row>
    <row r="263" spans="1:24" s="2" customFormat="1" x14ac:dyDescent="0.3">
      <c r="A263" s="695"/>
      <c r="B263" s="649"/>
      <c r="C263" s="649"/>
      <c r="D263" s="649"/>
      <c r="E263" s="649"/>
      <c r="F263" s="643"/>
      <c r="G263" s="792"/>
      <c r="H263" s="698"/>
      <c r="I263" s="701"/>
      <c r="J263" s="794"/>
      <c r="K263" s="796"/>
      <c r="L263" s="649"/>
      <c r="M263" s="649"/>
      <c r="N263" s="399">
        <v>45569</v>
      </c>
      <c r="O263" s="643"/>
      <c r="P263" s="394">
        <v>9676.7999999999993</v>
      </c>
      <c r="Q263" s="395">
        <v>45593</v>
      </c>
      <c r="R263" s="396"/>
      <c r="S263" s="394"/>
      <c r="T263" s="394"/>
      <c r="U263" s="646"/>
      <c r="V263" s="790"/>
      <c r="W263" s="655"/>
      <c r="X263" s="2">
        <v>56</v>
      </c>
    </row>
    <row r="264" spans="1:24" s="107" customFormat="1" ht="90" customHeight="1" x14ac:dyDescent="0.3">
      <c r="A264" s="702">
        <v>40</v>
      </c>
      <c r="B264" s="662" t="s">
        <v>56</v>
      </c>
      <c r="C264" s="662" t="s">
        <v>163</v>
      </c>
      <c r="D264" s="662" t="s">
        <v>147</v>
      </c>
      <c r="E264" s="662" t="s">
        <v>383</v>
      </c>
      <c r="F264" s="656">
        <v>45534</v>
      </c>
      <c r="G264" s="967" t="s">
        <v>225</v>
      </c>
      <c r="H264" s="726">
        <v>542500</v>
      </c>
      <c r="I264" s="728">
        <f>IF(X264 = 57, H264 + SUM(S264:S266) - SUM(T264:T266) - SUM(P264:P266) - V264,0)</f>
        <v>363516.95</v>
      </c>
      <c r="J264" s="889">
        <v>2310195709</v>
      </c>
      <c r="K264" s="892" t="s">
        <v>226</v>
      </c>
      <c r="L264" s="662" t="s">
        <v>146</v>
      </c>
      <c r="M264" s="662"/>
      <c r="N264" s="522">
        <v>45565</v>
      </c>
      <c r="O264" s="656" t="s">
        <v>194</v>
      </c>
      <c r="P264" s="513">
        <v>64577.8</v>
      </c>
      <c r="Q264" s="514">
        <v>45575</v>
      </c>
      <c r="R264" s="515"/>
      <c r="S264" s="513"/>
      <c r="T264" s="513"/>
      <c r="U264" s="659"/>
      <c r="V264" s="939"/>
      <c r="W264" s="668"/>
      <c r="X264" s="107">
        <v>57</v>
      </c>
    </row>
    <row r="265" spans="1:24" s="2" customFormat="1" x14ac:dyDescent="0.3">
      <c r="A265" s="703"/>
      <c r="B265" s="663"/>
      <c r="C265" s="663"/>
      <c r="D265" s="663"/>
      <c r="E265" s="663"/>
      <c r="F265" s="657"/>
      <c r="G265" s="968"/>
      <c r="H265" s="735"/>
      <c r="I265" s="736"/>
      <c r="J265" s="890"/>
      <c r="K265" s="893"/>
      <c r="L265" s="663"/>
      <c r="M265" s="663"/>
      <c r="N265" s="523">
        <v>45596</v>
      </c>
      <c r="O265" s="657"/>
      <c r="P265" s="516">
        <v>67479</v>
      </c>
      <c r="Q265" s="517">
        <v>45604</v>
      </c>
      <c r="R265" s="518"/>
      <c r="S265" s="516"/>
      <c r="T265" s="516"/>
      <c r="U265" s="660"/>
      <c r="V265" s="940"/>
      <c r="W265" s="669"/>
      <c r="X265" s="2">
        <v>57</v>
      </c>
    </row>
    <row r="266" spans="1:24" s="2" customFormat="1" x14ac:dyDescent="0.3">
      <c r="A266" s="704"/>
      <c r="B266" s="664"/>
      <c r="C266" s="664"/>
      <c r="D266" s="664"/>
      <c r="E266" s="664"/>
      <c r="F266" s="658"/>
      <c r="G266" s="969"/>
      <c r="H266" s="727"/>
      <c r="I266" s="729"/>
      <c r="J266" s="891"/>
      <c r="K266" s="894"/>
      <c r="L266" s="664"/>
      <c r="M266" s="664"/>
      <c r="N266" s="524">
        <v>45626</v>
      </c>
      <c r="O266" s="658"/>
      <c r="P266" s="519">
        <v>46926.25</v>
      </c>
      <c r="Q266" s="520">
        <v>45632</v>
      </c>
      <c r="R266" s="521"/>
      <c r="S266" s="519"/>
      <c r="T266" s="519"/>
      <c r="U266" s="661"/>
      <c r="V266" s="941"/>
      <c r="W266" s="670"/>
      <c r="X266" s="2">
        <v>57</v>
      </c>
    </row>
    <row r="267" spans="1:24" s="107" customFormat="1" ht="108" x14ac:dyDescent="0.3">
      <c r="A267" s="361">
        <v>41</v>
      </c>
      <c r="B267" s="371" t="s">
        <v>56</v>
      </c>
      <c r="C267" s="371" t="s">
        <v>146</v>
      </c>
      <c r="D267" s="371" t="s">
        <v>147</v>
      </c>
      <c r="E267" s="371" t="s">
        <v>385</v>
      </c>
      <c r="F267" s="373">
        <v>45572</v>
      </c>
      <c r="G267" s="362" t="s">
        <v>387</v>
      </c>
      <c r="H267" s="554">
        <v>5832</v>
      </c>
      <c r="I267" s="364">
        <f>IF(X267 = 58, H267 + SUM(S267:S267) - SUM(T267:T267) - SUM(P267:P267) - V267,0)</f>
        <v>0</v>
      </c>
      <c r="J267" s="365">
        <v>2353006498</v>
      </c>
      <c r="K267" s="366" t="s">
        <v>388</v>
      </c>
      <c r="L267" s="371" t="s">
        <v>146</v>
      </c>
      <c r="M267" s="371"/>
      <c r="N267" s="373">
        <v>45594</v>
      </c>
      <c r="O267" s="373" t="s">
        <v>165</v>
      </c>
      <c r="P267" s="363">
        <v>5832</v>
      </c>
      <c r="Q267" s="362">
        <v>45601</v>
      </c>
      <c r="R267" s="371"/>
      <c r="S267" s="363"/>
      <c r="T267" s="363"/>
      <c r="U267" s="363"/>
      <c r="V267" s="367"/>
      <c r="W267" s="368"/>
      <c r="X267" s="107">
        <v>58</v>
      </c>
    </row>
    <row r="268" spans="1:24" s="107" customFormat="1" ht="108" x14ac:dyDescent="0.3">
      <c r="A268" s="361">
        <v>42</v>
      </c>
      <c r="B268" s="371" t="s">
        <v>56</v>
      </c>
      <c r="C268" s="371" t="s">
        <v>146</v>
      </c>
      <c r="D268" s="371" t="s">
        <v>147</v>
      </c>
      <c r="E268" s="371" t="s">
        <v>386</v>
      </c>
      <c r="F268" s="373">
        <v>45572</v>
      </c>
      <c r="G268" s="362" t="s">
        <v>387</v>
      </c>
      <c r="H268" s="554">
        <v>140727</v>
      </c>
      <c r="I268" s="364">
        <f>IF(X268 = 59, H268 + SUM(S268:S268) - SUM(T268:T268) - SUM(P268:P268) - V268,0)</f>
        <v>0</v>
      </c>
      <c r="J268" s="365">
        <v>2353006498</v>
      </c>
      <c r="K268" s="366" t="s">
        <v>388</v>
      </c>
      <c r="L268" s="371" t="s">
        <v>146</v>
      </c>
      <c r="M268" s="371"/>
      <c r="N268" s="373">
        <v>45625</v>
      </c>
      <c r="O268" s="373" t="s">
        <v>165</v>
      </c>
      <c r="P268" s="363">
        <v>140727</v>
      </c>
      <c r="Q268" s="362">
        <v>45601</v>
      </c>
      <c r="R268" s="371"/>
      <c r="S268" s="363"/>
      <c r="T268" s="363"/>
      <c r="U268" s="363"/>
      <c r="V268" s="367"/>
      <c r="W268" s="368"/>
      <c r="X268" s="107">
        <v>59</v>
      </c>
    </row>
    <row r="269" spans="1:24" s="107" customFormat="1" ht="108" x14ac:dyDescent="0.3">
      <c r="A269" s="361">
        <v>43</v>
      </c>
      <c r="B269" s="371" t="s">
        <v>56</v>
      </c>
      <c r="C269" s="371" t="s">
        <v>146</v>
      </c>
      <c r="D269" s="371" t="s">
        <v>147</v>
      </c>
      <c r="E269" s="371" t="s">
        <v>389</v>
      </c>
      <c r="F269" s="373">
        <v>45579</v>
      </c>
      <c r="G269" s="362" t="s">
        <v>181</v>
      </c>
      <c r="H269" s="554">
        <v>7414</v>
      </c>
      <c r="I269" s="364">
        <f>IF(X269 = 60, H269 + SUM(S269:S269) - SUM(T269:T269) - SUM(P269:P269) - V269,0)</f>
        <v>0</v>
      </c>
      <c r="J269" s="365">
        <v>235002152355</v>
      </c>
      <c r="K269" s="366" t="s">
        <v>238</v>
      </c>
      <c r="L269" s="371" t="s">
        <v>146</v>
      </c>
      <c r="M269" s="371"/>
      <c r="N269" s="373">
        <v>45579</v>
      </c>
      <c r="O269" s="373" t="s">
        <v>194</v>
      </c>
      <c r="P269" s="363">
        <v>7414</v>
      </c>
      <c r="Q269" s="362">
        <v>45580</v>
      </c>
      <c r="R269" s="371"/>
      <c r="S269" s="363"/>
      <c r="T269" s="363"/>
      <c r="U269" s="363"/>
      <c r="V269" s="367"/>
      <c r="W269" s="368"/>
      <c r="X269" s="107">
        <v>60</v>
      </c>
    </row>
    <row r="270" spans="1:24" s="107" customFormat="1" ht="108" x14ac:dyDescent="0.3">
      <c r="A270" s="361">
        <v>44</v>
      </c>
      <c r="B270" s="372" t="s">
        <v>56</v>
      </c>
      <c r="C270" s="372" t="s">
        <v>146</v>
      </c>
      <c r="D270" s="372" t="s">
        <v>147</v>
      </c>
      <c r="E270" s="372" t="s">
        <v>244</v>
      </c>
      <c r="F270" s="375">
        <v>45567</v>
      </c>
      <c r="G270" s="362" t="s">
        <v>207</v>
      </c>
      <c r="H270" s="554">
        <v>166540</v>
      </c>
      <c r="I270" s="364">
        <f>IF(X270 = 61, H270 + SUM(S270:S270) - SUM(T270:T270) - SUM(P270:P270) - V270,0)</f>
        <v>0</v>
      </c>
      <c r="J270" s="365">
        <v>235303483777</v>
      </c>
      <c r="K270" s="366" t="s">
        <v>260</v>
      </c>
      <c r="L270" s="372" t="s">
        <v>146</v>
      </c>
      <c r="M270" s="372"/>
      <c r="N270" s="375">
        <v>45567</v>
      </c>
      <c r="O270" s="375" t="s">
        <v>194</v>
      </c>
      <c r="P270" s="363">
        <v>166540</v>
      </c>
      <c r="Q270" s="362">
        <v>45573</v>
      </c>
      <c r="R270" s="372"/>
      <c r="S270" s="363"/>
      <c r="T270" s="363"/>
      <c r="U270" s="363"/>
      <c r="V270" s="367"/>
      <c r="W270" s="368"/>
      <c r="X270" s="107">
        <v>61</v>
      </c>
    </row>
    <row r="271" spans="1:24" s="107" customFormat="1" ht="36" customHeight="1" x14ac:dyDescent="0.3">
      <c r="A271" s="702">
        <v>45</v>
      </c>
      <c r="B271" s="662" t="s">
        <v>56</v>
      </c>
      <c r="C271" s="662" t="s">
        <v>146</v>
      </c>
      <c r="D271" s="662" t="s">
        <v>147</v>
      </c>
      <c r="E271" s="662" t="s">
        <v>172</v>
      </c>
      <c r="F271" s="656">
        <v>45597</v>
      </c>
      <c r="G271" s="967" t="s">
        <v>406</v>
      </c>
      <c r="H271" s="726">
        <v>150000</v>
      </c>
      <c r="I271" s="728">
        <f>IF(X271 = 62, H271 + SUM(S271:S275) - SUM(T271:T275) - SUM(P271:P275) - V271,0)</f>
        <v>51949.229999999996</v>
      </c>
      <c r="J271" s="889">
        <v>2308119595</v>
      </c>
      <c r="K271" s="892" t="s">
        <v>149</v>
      </c>
      <c r="L271" s="662" t="s">
        <v>146</v>
      </c>
      <c r="M271" s="662"/>
      <c r="N271" s="522">
        <v>45597</v>
      </c>
      <c r="O271" s="656" t="s">
        <v>169</v>
      </c>
      <c r="P271" s="513">
        <v>17076.64</v>
      </c>
      <c r="Q271" s="514">
        <v>45597</v>
      </c>
      <c r="R271" s="515"/>
      <c r="S271" s="513"/>
      <c r="T271" s="513"/>
      <c r="U271" s="659"/>
      <c r="V271" s="939"/>
      <c r="W271" s="668"/>
      <c r="X271" s="107">
        <v>62</v>
      </c>
    </row>
    <row r="272" spans="1:24" s="2" customFormat="1" x14ac:dyDescent="0.3">
      <c r="A272" s="703"/>
      <c r="B272" s="663"/>
      <c r="C272" s="663"/>
      <c r="D272" s="663"/>
      <c r="E272" s="663"/>
      <c r="F272" s="657"/>
      <c r="G272" s="968"/>
      <c r="H272" s="735"/>
      <c r="I272" s="736"/>
      <c r="J272" s="890"/>
      <c r="K272" s="893"/>
      <c r="L272" s="663"/>
      <c r="M272" s="663"/>
      <c r="N272" s="523">
        <v>45597</v>
      </c>
      <c r="O272" s="657"/>
      <c r="P272" s="516">
        <v>24800.46</v>
      </c>
      <c r="Q272" s="517">
        <v>45611</v>
      </c>
      <c r="R272" s="518"/>
      <c r="S272" s="516"/>
      <c r="T272" s="516"/>
      <c r="U272" s="660"/>
      <c r="V272" s="940"/>
      <c r="W272" s="669"/>
      <c r="X272" s="2">
        <v>62</v>
      </c>
    </row>
    <row r="273" spans="1:24" s="2" customFormat="1" x14ac:dyDescent="0.3">
      <c r="A273" s="703"/>
      <c r="B273" s="663"/>
      <c r="C273" s="663"/>
      <c r="D273" s="663"/>
      <c r="E273" s="663"/>
      <c r="F273" s="657"/>
      <c r="G273" s="968"/>
      <c r="H273" s="735"/>
      <c r="I273" s="736"/>
      <c r="J273" s="890"/>
      <c r="K273" s="893"/>
      <c r="L273" s="663"/>
      <c r="M273" s="663"/>
      <c r="N273" s="523">
        <v>45627</v>
      </c>
      <c r="O273" s="657"/>
      <c r="P273" s="516">
        <v>18607.45</v>
      </c>
      <c r="Q273" s="517">
        <v>45629</v>
      </c>
      <c r="R273" s="518"/>
      <c r="S273" s="516"/>
      <c r="T273" s="516"/>
      <c r="U273" s="660"/>
      <c r="V273" s="940"/>
      <c r="W273" s="669"/>
      <c r="X273" s="2">
        <v>62</v>
      </c>
    </row>
    <row r="274" spans="1:24" s="2" customFormat="1" x14ac:dyDescent="0.3">
      <c r="A274" s="703"/>
      <c r="B274" s="663"/>
      <c r="C274" s="663"/>
      <c r="D274" s="663"/>
      <c r="E274" s="663"/>
      <c r="F274" s="657"/>
      <c r="G274" s="968"/>
      <c r="H274" s="735"/>
      <c r="I274" s="736"/>
      <c r="J274" s="890"/>
      <c r="K274" s="893"/>
      <c r="L274" s="663"/>
      <c r="M274" s="663"/>
      <c r="N274" s="523">
        <v>45626</v>
      </c>
      <c r="O274" s="657"/>
      <c r="P274" s="516">
        <v>13438.41</v>
      </c>
      <c r="Q274" s="517">
        <v>45643</v>
      </c>
      <c r="R274" s="518"/>
      <c r="S274" s="516"/>
      <c r="T274" s="516"/>
      <c r="U274" s="660"/>
      <c r="V274" s="940"/>
      <c r="W274" s="669"/>
      <c r="X274" s="2">
        <v>62</v>
      </c>
    </row>
    <row r="275" spans="1:24" s="2" customFormat="1" x14ac:dyDescent="0.3">
      <c r="A275" s="704"/>
      <c r="B275" s="664"/>
      <c r="C275" s="664"/>
      <c r="D275" s="664"/>
      <c r="E275" s="664"/>
      <c r="F275" s="658"/>
      <c r="G275" s="969"/>
      <c r="H275" s="727"/>
      <c r="I275" s="729"/>
      <c r="J275" s="891"/>
      <c r="K275" s="894"/>
      <c r="L275" s="664"/>
      <c r="M275" s="664"/>
      <c r="N275" s="524">
        <v>45627</v>
      </c>
      <c r="O275" s="658"/>
      <c r="P275" s="519">
        <v>24127.81</v>
      </c>
      <c r="Q275" s="520">
        <v>45643</v>
      </c>
      <c r="R275" s="521"/>
      <c r="S275" s="519"/>
      <c r="T275" s="519"/>
      <c r="U275" s="661"/>
      <c r="V275" s="941"/>
      <c r="W275" s="670"/>
      <c r="X275" s="2">
        <v>62</v>
      </c>
    </row>
    <row r="276" spans="1:24" s="107" customFormat="1" ht="108" x14ac:dyDescent="0.3">
      <c r="A276" s="422">
        <v>46</v>
      </c>
      <c r="B276" s="423" t="s">
        <v>56</v>
      </c>
      <c r="C276" s="423" t="s">
        <v>146</v>
      </c>
      <c r="D276" s="423" t="s">
        <v>147</v>
      </c>
      <c r="E276" s="423" t="s">
        <v>408</v>
      </c>
      <c r="F276" s="437">
        <v>45609</v>
      </c>
      <c r="G276" s="424" t="s">
        <v>407</v>
      </c>
      <c r="H276" s="566">
        <v>2200</v>
      </c>
      <c r="I276" s="426">
        <f>IF(X276 = 63, H276 + SUM(S276:S276) - SUM(T276:T276) - SUM(P276:P276) - V276,0)</f>
        <v>0</v>
      </c>
      <c r="J276" s="427">
        <v>235305769122</v>
      </c>
      <c r="K276" s="428" t="s">
        <v>160</v>
      </c>
      <c r="L276" s="423" t="s">
        <v>146</v>
      </c>
      <c r="M276" s="423"/>
      <c r="N276" s="437">
        <v>45609</v>
      </c>
      <c r="O276" s="437" t="s">
        <v>194</v>
      </c>
      <c r="P276" s="425">
        <v>2200</v>
      </c>
      <c r="Q276" s="424">
        <v>45611</v>
      </c>
      <c r="R276" s="423"/>
      <c r="S276" s="425"/>
      <c r="T276" s="425"/>
      <c r="U276" s="425"/>
      <c r="V276" s="432"/>
      <c r="W276" s="433"/>
      <c r="X276" s="107">
        <v>63</v>
      </c>
    </row>
    <row r="277" spans="1:24" s="107" customFormat="1" ht="90" customHeight="1" x14ac:dyDescent="0.3">
      <c r="A277" s="702">
        <v>47</v>
      </c>
      <c r="B277" s="662" t="s">
        <v>56</v>
      </c>
      <c r="C277" s="662" t="s">
        <v>146</v>
      </c>
      <c r="D277" s="662" t="s">
        <v>147</v>
      </c>
      <c r="E277" s="662" t="s">
        <v>127</v>
      </c>
      <c r="F277" s="656">
        <v>45601</v>
      </c>
      <c r="G277" s="967" t="s">
        <v>410</v>
      </c>
      <c r="H277" s="726">
        <v>55895</v>
      </c>
      <c r="I277" s="728">
        <f>IF(X277 = 64, H277 + SUM(S277:S278) - SUM(T277:T278) - SUM(P277:P278) - V277,0)</f>
        <v>32909</v>
      </c>
      <c r="J277" s="889">
        <v>2353020735</v>
      </c>
      <c r="K277" s="892" t="s">
        <v>156</v>
      </c>
      <c r="L277" s="662" t="s">
        <v>146</v>
      </c>
      <c r="M277" s="662"/>
      <c r="N277" s="522">
        <v>45625</v>
      </c>
      <c r="O277" s="656" t="s">
        <v>194</v>
      </c>
      <c r="P277" s="513">
        <v>10881</v>
      </c>
      <c r="Q277" s="514">
        <v>45635</v>
      </c>
      <c r="R277" s="515"/>
      <c r="S277" s="513"/>
      <c r="T277" s="513"/>
      <c r="U277" s="659"/>
      <c r="V277" s="939"/>
      <c r="W277" s="668"/>
      <c r="X277" s="107">
        <v>64</v>
      </c>
    </row>
    <row r="278" spans="1:24" s="2" customFormat="1" x14ac:dyDescent="0.3">
      <c r="A278" s="704"/>
      <c r="B278" s="664"/>
      <c r="C278" s="664"/>
      <c r="D278" s="664"/>
      <c r="E278" s="664"/>
      <c r="F278" s="658"/>
      <c r="G278" s="969"/>
      <c r="H278" s="727"/>
      <c r="I278" s="729"/>
      <c r="J278" s="891"/>
      <c r="K278" s="894"/>
      <c r="L278" s="664"/>
      <c r="M278" s="664"/>
      <c r="N278" s="524">
        <v>45653</v>
      </c>
      <c r="O278" s="658"/>
      <c r="P278" s="519">
        <v>12105</v>
      </c>
      <c r="Q278" s="520">
        <v>45653</v>
      </c>
      <c r="R278" s="521"/>
      <c r="S278" s="519"/>
      <c r="T278" s="519"/>
      <c r="U278" s="661"/>
      <c r="V278" s="941"/>
      <c r="W278" s="670"/>
      <c r="X278" s="2">
        <v>64</v>
      </c>
    </row>
    <row r="279" spans="1:24" s="107" customFormat="1" ht="90" customHeight="1" x14ac:dyDescent="0.3">
      <c r="A279" s="702">
        <v>48</v>
      </c>
      <c r="B279" s="662" t="s">
        <v>56</v>
      </c>
      <c r="C279" s="662" t="s">
        <v>146</v>
      </c>
      <c r="D279" s="662" t="s">
        <v>147</v>
      </c>
      <c r="E279" s="662" t="s">
        <v>128</v>
      </c>
      <c r="F279" s="656">
        <v>45601</v>
      </c>
      <c r="G279" s="967" t="s">
        <v>410</v>
      </c>
      <c r="H279" s="726">
        <v>473544</v>
      </c>
      <c r="I279" s="728">
        <f>IF(X279 = 65, H279 + SUM(S279:S294) - SUM(T279:T294) - SUM(P279:P294) - V279,0)</f>
        <v>97998.88</v>
      </c>
      <c r="J279" s="889">
        <v>2353020735</v>
      </c>
      <c r="K279" s="892" t="s">
        <v>156</v>
      </c>
      <c r="L279" s="662" t="s">
        <v>146</v>
      </c>
      <c r="M279" s="662"/>
      <c r="N279" s="522">
        <v>45625</v>
      </c>
      <c r="O279" s="656" t="s">
        <v>194</v>
      </c>
      <c r="P279" s="513">
        <v>16249.05</v>
      </c>
      <c r="Q279" s="514">
        <v>45635</v>
      </c>
      <c r="R279" s="515"/>
      <c r="S279" s="513"/>
      <c r="T279" s="513"/>
      <c r="U279" s="659"/>
      <c r="V279" s="939"/>
      <c r="W279" s="668"/>
      <c r="X279" s="107">
        <v>65</v>
      </c>
    </row>
    <row r="280" spans="1:24" s="2" customFormat="1" x14ac:dyDescent="0.3">
      <c r="A280" s="703"/>
      <c r="B280" s="663"/>
      <c r="C280" s="663"/>
      <c r="D280" s="663"/>
      <c r="E280" s="663"/>
      <c r="F280" s="657"/>
      <c r="G280" s="968"/>
      <c r="H280" s="735"/>
      <c r="I280" s="736"/>
      <c r="J280" s="890"/>
      <c r="K280" s="893"/>
      <c r="L280" s="663"/>
      <c r="M280" s="663"/>
      <c r="N280" s="523">
        <v>45625</v>
      </c>
      <c r="O280" s="657"/>
      <c r="P280" s="516">
        <v>13294.87</v>
      </c>
      <c r="Q280" s="517">
        <v>45635</v>
      </c>
      <c r="R280" s="518"/>
      <c r="S280" s="516"/>
      <c r="T280" s="516"/>
      <c r="U280" s="660"/>
      <c r="V280" s="940"/>
      <c r="W280" s="669"/>
      <c r="X280" s="2">
        <v>65</v>
      </c>
    </row>
    <row r="281" spans="1:24" s="2" customFormat="1" x14ac:dyDescent="0.3">
      <c r="A281" s="703"/>
      <c r="B281" s="663"/>
      <c r="C281" s="663"/>
      <c r="D281" s="663"/>
      <c r="E281" s="663"/>
      <c r="F281" s="657"/>
      <c r="G281" s="968"/>
      <c r="H281" s="735"/>
      <c r="I281" s="736"/>
      <c r="J281" s="890"/>
      <c r="K281" s="893"/>
      <c r="L281" s="663"/>
      <c r="M281" s="663"/>
      <c r="N281" s="535">
        <v>45625</v>
      </c>
      <c r="O281" s="657"/>
      <c r="P281" s="516">
        <v>10200</v>
      </c>
      <c r="Q281" s="525">
        <v>45635</v>
      </c>
      <c r="R281" s="518"/>
      <c r="S281" s="516"/>
      <c r="T281" s="516"/>
      <c r="U281" s="660"/>
      <c r="V281" s="940"/>
      <c r="W281" s="669"/>
      <c r="X281" s="2">
        <v>65</v>
      </c>
    </row>
    <row r="282" spans="1:24" s="2" customFormat="1" x14ac:dyDescent="0.3">
      <c r="A282" s="703"/>
      <c r="B282" s="663"/>
      <c r="C282" s="663"/>
      <c r="D282" s="663"/>
      <c r="E282" s="663"/>
      <c r="F282" s="657"/>
      <c r="G282" s="968"/>
      <c r="H282" s="735"/>
      <c r="I282" s="736"/>
      <c r="J282" s="890"/>
      <c r="K282" s="893"/>
      <c r="L282" s="663"/>
      <c r="M282" s="663"/>
      <c r="N282" s="523">
        <v>45625</v>
      </c>
      <c r="O282" s="657"/>
      <c r="P282" s="516">
        <v>116065</v>
      </c>
      <c r="Q282" s="517">
        <v>45635</v>
      </c>
      <c r="R282" s="518"/>
      <c r="S282" s="516"/>
      <c r="T282" s="516"/>
      <c r="U282" s="660"/>
      <c r="V282" s="940"/>
      <c r="W282" s="669"/>
      <c r="X282" s="2">
        <v>65</v>
      </c>
    </row>
    <row r="283" spans="1:24" s="2" customFormat="1" x14ac:dyDescent="0.3">
      <c r="A283" s="703"/>
      <c r="B283" s="663"/>
      <c r="C283" s="663"/>
      <c r="D283" s="663"/>
      <c r="E283" s="663"/>
      <c r="F283" s="657"/>
      <c r="G283" s="968"/>
      <c r="H283" s="735"/>
      <c r="I283" s="736"/>
      <c r="J283" s="890"/>
      <c r="K283" s="893"/>
      <c r="L283" s="663"/>
      <c r="M283" s="663"/>
      <c r="N283" s="535">
        <v>45625</v>
      </c>
      <c r="O283" s="657"/>
      <c r="P283" s="516">
        <v>7784</v>
      </c>
      <c r="Q283" s="525">
        <v>45635</v>
      </c>
      <c r="R283" s="518"/>
      <c r="S283" s="516"/>
      <c r="T283" s="516"/>
      <c r="U283" s="660"/>
      <c r="V283" s="940"/>
      <c r="W283" s="669"/>
      <c r="X283" s="2">
        <v>65</v>
      </c>
    </row>
    <row r="284" spans="1:24" s="2" customFormat="1" x14ac:dyDescent="0.3">
      <c r="A284" s="703"/>
      <c r="B284" s="663"/>
      <c r="C284" s="663"/>
      <c r="D284" s="663"/>
      <c r="E284" s="663"/>
      <c r="F284" s="657"/>
      <c r="G284" s="968"/>
      <c r="H284" s="735"/>
      <c r="I284" s="736"/>
      <c r="J284" s="890"/>
      <c r="K284" s="893"/>
      <c r="L284" s="663"/>
      <c r="M284" s="663"/>
      <c r="N284" s="523">
        <v>45625</v>
      </c>
      <c r="O284" s="657"/>
      <c r="P284" s="516">
        <v>1946</v>
      </c>
      <c r="Q284" s="517">
        <v>45635</v>
      </c>
      <c r="R284" s="518"/>
      <c r="S284" s="516"/>
      <c r="T284" s="516"/>
      <c r="U284" s="660"/>
      <c r="V284" s="940"/>
      <c r="W284" s="669"/>
      <c r="X284" s="2">
        <v>65</v>
      </c>
    </row>
    <row r="285" spans="1:24" s="2" customFormat="1" x14ac:dyDescent="0.3">
      <c r="A285" s="703"/>
      <c r="B285" s="663"/>
      <c r="C285" s="663"/>
      <c r="D285" s="663"/>
      <c r="E285" s="663"/>
      <c r="F285" s="657"/>
      <c r="G285" s="968"/>
      <c r="H285" s="735"/>
      <c r="I285" s="736"/>
      <c r="J285" s="890"/>
      <c r="K285" s="893"/>
      <c r="L285" s="663"/>
      <c r="M285" s="663"/>
      <c r="N285" s="535">
        <v>45625</v>
      </c>
      <c r="O285" s="657"/>
      <c r="P285" s="516">
        <v>6559</v>
      </c>
      <c r="Q285" s="525">
        <v>45635</v>
      </c>
      <c r="R285" s="518"/>
      <c r="S285" s="516"/>
      <c r="T285" s="516"/>
      <c r="U285" s="660"/>
      <c r="V285" s="940"/>
      <c r="W285" s="669"/>
      <c r="X285" s="2">
        <v>65</v>
      </c>
    </row>
    <row r="286" spans="1:24" s="2" customFormat="1" x14ac:dyDescent="0.3">
      <c r="A286" s="703"/>
      <c r="B286" s="663"/>
      <c r="C286" s="663"/>
      <c r="D286" s="663"/>
      <c r="E286" s="663"/>
      <c r="F286" s="657"/>
      <c r="G286" s="968"/>
      <c r="H286" s="735"/>
      <c r="I286" s="736"/>
      <c r="J286" s="890"/>
      <c r="K286" s="893"/>
      <c r="L286" s="663"/>
      <c r="M286" s="663"/>
      <c r="N286" s="523">
        <v>45625</v>
      </c>
      <c r="O286" s="657"/>
      <c r="P286" s="516">
        <v>2100</v>
      </c>
      <c r="Q286" s="517">
        <v>45635</v>
      </c>
      <c r="R286" s="518"/>
      <c r="S286" s="516"/>
      <c r="T286" s="516"/>
      <c r="U286" s="660"/>
      <c r="V286" s="940"/>
      <c r="W286" s="669"/>
      <c r="X286" s="2">
        <v>65</v>
      </c>
    </row>
    <row r="287" spans="1:24" s="2" customFormat="1" x14ac:dyDescent="0.3">
      <c r="A287" s="703"/>
      <c r="B287" s="663"/>
      <c r="C287" s="663"/>
      <c r="D287" s="663"/>
      <c r="E287" s="663"/>
      <c r="F287" s="657"/>
      <c r="G287" s="968"/>
      <c r="H287" s="735"/>
      <c r="I287" s="736"/>
      <c r="J287" s="890"/>
      <c r="K287" s="893"/>
      <c r="L287" s="663"/>
      <c r="M287" s="663"/>
      <c r="N287" s="523">
        <v>45653</v>
      </c>
      <c r="O287" s="657"/>
      <c r="P287" s="516">
        <v>10200</v>
      </c>
      <c r="Q287" s="517">
        <v>45653</v>
      </c>
      <c r="R287" s="518"/>
      <c r="S287" s="516"/>
      <c r="T287" s="516"/>
      <c r="U287" s="660"/>
      <c r="V287" s="940"/>
      <c r="W287" s="669"/>
      <c r="X287" s="2">
        <v>65</v>
      </c>
    </row>
    <row r="288" spans="1:24" s="2" customFormat="1" x14ac:dyDescent="0.3">
      <c r="A288" s="703"/>
      <c r="B288" s="663"/>
      <c r="C288" s="663"/>
      <c r="D288" s="663"/>
      <c r="E288" s="663"/>
      <c r="F288" s="657"/>
      <c r="G288" s="968"/>
      <c r="H288" s="735"/>
      <c r="I288" s="736"/>
      <c r="J288" s="890"/>
      <c r="K288" s="893"/>
      <c r="L288" s="663"/>
      <c r="M288" s="663"/>
      <c r="N288" s="523">
        <v>45653</v>
      </c>
      <c r="O288" s="657"/>
      <c r="P288" s="516">
        <v>17539.400000000001</v>
      </c>
      <c r="Q288" s="517">
        <v>45653</v>
      </c>
      <c r="R288" s="518"/>
      <c r="S288" s="516"/>
      <c r="T288" s="516"/>
      <c r="U288" s="660"/>
      <c r="V288" s="940"/>
      <c r="W288" s="669"/>
      <c r="X288" s="2">
        <v>65</v>
      </c>
    </row>
    <row r="289" spans="1:24" s="2" customFormat="1" x14ac:dyDescent="0.3">
      <c r="A289" s="703"/>
      <c r="B289" s="663"/>
      <c r="C289" s="663"/>
      <c r="D289" s="663"/>
      <c r="E289" s="663"/>
      <c r="F289" s="657"/>
      <c r="G289" s="968"/>
      <c r="H289" s="735"/>
      <c r="I289" s="736"/>
      <c r="J289" s="890"/>
      <c r="K289" s="893"/>
      <c r="L289" s="663"/>
      <c r="M289" s="663"/>
      <c r="N289" s="523">
        <v>45653</v>
      </c>
      <c r="O289" s="657"/>
      <c r="P289" s="516">
        <v>14350.6</v>
      </c>
      <c r="Q289" s="517">
        <v>45653</v>
      </c>
      <c r="R289" s="518"/>
      <c r="S289" s="516"/>
      <c r="T289" s="516"/>
      <c r="U289" s="660"/>
      <c r="V289" s="940"/>
      <c r="W289" s="669"/>
      <c r="X289" s="2">
        <v>65</v>
      </c>
    </row>
    <row r="290" spans="1:24" s="2" customFormat="1" x14ac:dyDescent="0.3">
      <c r="A290" s="703"/>
      <c r="B290" s="663"/>
      <c r="C290" s="663"/>
      <c r="D290" s="663"/>
      <c r="E290" s="663"/>
      <c r="F290" s="657"/>
      <c r="G290" s="968"/>
      <c r="H290" s="735"/>
      <c r="I290" s="736"/>
      <c r="J290" s="890"/>
      <c r="K290" s="893"/>
      <c r="L290" s="663"/>
      <c r="M290" s="663"/>
      <c r="N290" s="523">
        <v>45653</v>
      </c>
      <c r="O290" s="657"/>
      <c r="P290" s="516">
        <v>6184.2</v>
      </c>
      <c r="Q290" s="517">
        <v>45653</v>
      </c>
      <c r="R290" s="518"/>
      <c r="S290" s="516"/>
      <c r="T290" s="516"/>
      <c r="U290" s="660"/>
      <c r="V290" s="940"/>
      <c r="W290" s="669"/>
      <c r="X290" s="2">
        <v>65</v>
      </c>
    </row>
    <row r="291" spans="1:24" s="2" customFormat="1" x14ac:dyDescent="0.3">
      <c r="A291" s="703"/>
      <c r="B291" s="663"/>
      <c r="C291" s="663"/>
      <c r="D291" s="663"/>
      <c r="E291" s="663"/>
      <c r="F291" s="657"/>
      <c r="G291" s="968"/>
      <c r="H291" s="735"/>
      <c r="I291" s="736"/>
      <c r="J291" s="890"/>
      <c r="K291" s="893"/>
      <c r="L291" s="663"/>
      <c r="M291" s="663"/>
      <c r="N291" s="523">
        <v>45653</v>
      </c>
      <c r="O291" s="657"/>
      <c r="P291" s="516">
        <v>1980</v>
      </c>
      <c r="Q291" s="517">
        <v>45653</v>
      </c>
      <c r="R291" s="518"/>
      <c r="S291" s="516"/>
      <c r="T291" s="516"/>
      <c r="U291" s="660"/>
      <c r="V291" s="940"/>
      <c r="W291" s="669"/>
      <c r="X291" s="2">
        <v>65</v>
      </c>
    </row>
    <row r="292" spans="1:24" s="2" customFormat="1" x14ac:dyDescent="0.3">
      <c r="A292" s="703"/>
      <c r="B292" s="663"/>
      <c r="C292" s="663"/>
      <c r="D292" s="663"/>
      <c r="E292" s="663"/>
      <c r="F292" s="657"/>
      <c r="G292" s="968"/>
      <c r="H292" s="735"/>
      <c r="I292" s="736"/>
      <c r="J292" s="890"/>
      <c r="K292" s="893"/>
      <c r="L292" s="663"/>
      <c r="M292" s="663"/>
      <c r="N292" s="523">
        <v>45653</v>
      </c>
      <c r="O292" s="657"/>
      <c r="P292" s="516">
        <v>10564</v>
      </c>
      <c r="Q292" s="517">
        <v>45653</v>
      </c>
      <c r="R292" s="518"/>
      <c r="S292" s="516"/>
      <c r="T292" s="516"/>
      <c r="U292" s="660"/>
      <c r="V292" s="940"/>
      <c r="W292" s="669"/>
      <c r="X292" s="2">
        <v>65</v>
      </c>
    </row>
    <row r="293" spans="1:24" s="2" customFormat="1" x14ac:dyDescent="0.3">
      <c r="A293" s="703"/>
      <c r="B293" s="663"/>
      <c r="C293" s="663"/>
      <c r="D293" s="663"/>
      <c r="E293" s="663"/>
      <c r="F293" s="657"/>
      <c r="G293" s="968"/>
      <c r="H293" s="735"/>
      <c r="I293" s="736"/>
      <c r="J293" s="890"/>
      <c r="K293" s="893"/>
      <c r="L293" s="663"/>
      <c r="M293" s="663"/>
      <c r="N293" s="523">
        <v>45653</v>
      </c>
      <c r="O293" s="657"/>
      <c r="P293" s="516">
        <v>2641</v>
      </c>
      <c r="Q293" s="517">
        <v>45653</v>
      </c>
      <c r="R293" s="518"/>
      <c r="S293" s="516"/>
      <c r="T293" s="516"/>
      <c r="U293" s="660"/>
      <c r="V293" s="940"/>
      <c r="W293" s="669"/>
      <c r="X293" s="2">
        <v>65</v>
      </c>
    </row>
    <row r="294" spans="1:24" s="2" customFormat="1" x14ac:dyDescent="0.3">
      <c r="A294" s="704"/>
      <c r="B294" s="664"/>
      <c r="C294" s="664"/>
      <c r="D294" s="664"/>
      <c r="E294" s="664"/>
      <c r="F294" s="658"/>
      <c r="G294" s="969"/>
      <c r="H294" s="727"/>
      <c r="I294" s="729"/>
      <c r="J294" s="891"/>
      <c r="K294" s="894"/>
      <c r="L294" s="664"/>
      <c r="M294" s="664"/>
      <c r="N294" s="523">
        <v>45653</v>
      </c>
      <c r="O294" s="658"/>
      <c r="P294" s="519">
        <v>137888</v>
      </c>
      <c r="Q294" s="517">
        <v>45653</v>
      </c>
      <c r="R294" s="521"/>
      <c r="S294" s="519"/>
      <c r="T294" s="519"/>
      <c r="U294" s="661"/>
      <c r="V294" s="941"/>
      <c r="W294" s="670"/>
      <c r="X294" s="2">
        <v>65</v>
      </c>
    </row>
    <row r="295" spans="1:24" s="107" customFormat="1" ht="108" x14ac:dyDescent="0.3">
      <c r="A295" s="438">
        <v>49</v>
      </c>
      <c r="B295" s="439" t="s">
        <v>56</v>
      </c>
      <c r="C295" s="439" t="s">
        <v>146</v>
      </c>
      <c r="D295" s="439" t="s">
        <v>147</v>
      </c>
      <c r="E295" s="439" t="s">
        <v>306</v>
      </c>
      <c r="F295" s="459">
        <v>45615</v>
      </c>
      <c r="G295" s="440" t="s">
        <v>207</v>
      </c>
      <c r="H295" s="557">
        <v>22275</v>
      </c>
      <c r="I295" s="442">
        <f>IF(X295 = 66, H295 + SUM(S295:S295) - SUM(T295:T295) - SUM(P295:P295) - V295,0)</f>
        <v>0</v>
      </c>
      <c r="J295" s="443">
        <v>235303483777</v>
      </c>
      <c r="K295" s="444" t="s">
        <v>260</v>
      </c>
      <c r="L295" s="439" t="s">
        <v>146</v>
      </c>
      <c r="M295" s="439"/>
      <c r="N295" s="459">
        <v>45621</v>
      </c>
      <c r="O295" s="459" t="s">
        <v>194</v>
      </c>
      <c r="P295" s="441">
        <v>22275</v>
      </c>
      <c r="Q295" s="440">
        <v>45623</v>
      </c>
      <c r="R295" s="439"/>
      <c r="S295" s="441"/>
      <c r="T295" s="441"/>
      <c r="U295" s="441"/>
      <c r="V295" s="445"/>
      <c r="W295" s="446"/>
      <c r="X295" s="107">
        <v>66</v>
      </c>
    </row>
    <row r="296" spans="1:24" s="107" customFormat="1" ht="108" x14ac:dyDescent="0.3">
      <c r="A296" s="499">
        <v>50</v>
      </c>
      <c r="B296" s="497" t="s">
        <v>56</v>
      </c>
      <c r="C296" s="497" t="s">
        <v>146</v>
      </c>
      <c r="D296" s="497" t="s">
        <v>147</v>
      </c>
      <c r="E296" s="497" t="s">
        <v>423</v>
      </c>
      <c r="F296" s="505">
        <v>45637</v>
      </c>
      <c r="G296" s="502" t="s">
        <v>243</v>
      </c>
      <c r="H296" s="559">
        <v>10268</v>
      </c>
      <c r="I296" s="501">
        <f>IF(X296 = 67, H296 + SUM(S296:S296) - SUM(T296:T296) - SUM(P296:P296) - V296,0)</f>
        <v>0</v>
      </c>
      <c r="J296" s="506">
        <v>235002152355</v>
      </c>
      <c r="K296" s="507" t="s">
        <v>238</v>
      </c>
      <c r="L296" s="497" t="s">
        <v>146</v>
      </c>
      <c r="M296" s="497"/>
      <c r="N296" s="505">
        <v>45637</v>
      </c>
      <c r="O296" s="505" t="s">
        <v>194</v>
      </c>
      <c r="P296" s="500">
        <v>10268</v>
      </c>
      <c r="Q296" s="502">
        <v>45638</v>
      </c>
      <c r="R296" s="497"/>
      <c r="S296" s="500"/>
      <c r="T296" s="500"/>
      <c r="U296" s="500"/>
      <c r="V296" s="508"/>
      <c r="W296" s="504"/>
      <c r="X296" s="107">
        <v>67</v>
      </c>
    </row>
    <row r="297" spans="1:24" s="107" customFormat="1" ht="90" customHeight="1" x14ac:dyDescent="0.3">
      <c r="A297" s="702">
        <v>51</v>
      </c>
      <c r="B297" s="662" t="s">
        <v>56</v>
      </c>
      <c r="C297" s="662" t="s">
        <v>146</v>
      </c>
      <c r="D297" s="662" t="s">
        <v>147</v>
      </c>
      <c r="E297" s="662" t="s">
        <v>129</v>
      </c>
      <c r="F297" s="656">
        <v>45642</v>
      </c>
      <c r="G297" s="967" t="s">
        <v>371</v>
      </c>
      <c r="H297" s="726">
        <v>335552</v>
      </c>
      <c r="I297" s="728">
        <f>IF(X297 = 68, H297 + SUM(S297:S302) - SUM(T297:T302) - SUM(P297:P302) - V297,0)</f>
        <v>44292.400000000023</v>
      </c>
      <c r="J297" s="889">
        <v>2353020735</v>
      </c>
      <c r="K297" s="892" t="s">
        <v>156</v>
      </c>
      <c r="L297" s="662" t="s">
        <v>146</v>
      </c>
      <c r="M297" s="662"/>
      <c r="N297" s="522">
        <v>45642</v>
      </c>
      <c r="O297" s="656" t="s">
        <v>194</v>
      </c>
      <c r="P297" s="513">
        <v>107484.23</v>
      </c>
      <c r="Q297" s="514">
        <v>45646</v>
      </c>
      <c r="R297" s="515"/>
      <c r="S297" s="513"/>
      <c r="T297" s="513"/>
      <c r="U297" s="659"/>
      <c r="V297" s="939"/>
      <c r="W297" s="668"/>
      <c r="X297" s="107">
        <v>68</v>
      </c>
    </row>
    <row r="298" spans="1:24" s="2" customFormat="1" x14ac:dyDescent="0.3">
      <c r="A298" s="703"/>
      <c r="B298" s="663"/>
      <c r="C298" s="663"/>
      <c r="D298" s="663"/>
      <c r="E298" s="663"/>
      <c r="F298" s="657"/>
      <c r="G298" s="968"/>
      <c r="H298" s="735"/>
      <c r="I298" s="736"/>
      <c r="J298" s="890"/>
      <c r="K298" s="893"/>
      <c r="L298" s="663"/>
      <c r="M298" s="663"/>
      <c r="N298" s="523">
        <v>45642</v>
      </c>
      <c r="O298" s="657"/>
      <c r="P298" s="516">
        <v>6860.77</v>
      </c>
      <c r="Q298" s="517">
        <v>45646</v>
      </c>
      <c r="R298" s="518"/>
      <c r="S298" s="516"/>
      <c r="T298" s="516"/>
      <c r="U298" s="660"/>
      <c r="V298" s="940"/>
      <c r="W298" s="669"/>
      <c r="X298" s="2">
        <v>68</v>
      </c>
    </row>
    <row r="299" spans="1:24" s="2" customFormat="1" x14ac:dyDescent="0.3">
      <c r="A299" s="703"/>
      <c r="B299" s="663"/>
      <c r="C299" s="663"/>
      <c r="D299" s="663"/>
      <c r="E299" s="663"/>
      <c r="F299" s="657"/>
      <c r="G299" s="968"/>
      <c r="H299" s="735"/>
      <c r="I299" s="736"/>
      <c r="J299" s="890"/>
      <c r="K299" s="893"/>
      <c r="L299" s="663"/>
      <c r="M299" s="663"/>
      <c r="N299" s="522">
        <v>45642</v>
      </c>
      <c r="O299" s="657"/>
      <c r="P299" s="516">
        <v>32109</v>
      </c>
      <c r="Q299" s="514">
        <v>45646</v>
      </c>
      <c r="R299" s="518"/>
      <c r="S299" s="516"/>
      <c r="T299" s="516"/>
      <c r="U299" s="660"/>
      <c r="V299" s="940"/>
      <c r="W299" s="669"/>
      <c r="X299" s="2">
        <v>68</v>
      </c>
    </row>
    <row r="300" spans="1:24" s="2" customFormat="1" x14ac:dyDescent="0.3">
      <c r="A300" s="703"/>
      <c r="B300" s="663"/>
      <c r="C300" s="663"/>
      <c r="D300" s="663"/>
      <c r="E300" s="663"/>
      <c r="F300" s="657"/>
      <c r="G300" s="968"/>
      <c r="H300" s="735"/>
      <c r="I300" s="736"/>
      <c r="J300" s="890"/>
      <c r="K300" s="893"/>
      <c r="L300" s="663"/>
      <c r="M300" s="663"/>
      <c r="N300" s="523">
        <v>45653</v>
      </c>
      <c r="O300" s="657"/>
      <c r="P300" s="516">
        <v>106274.45</v>
      </c>
      <c r="Q300" s="517">
        <v>45653</v>
      </c>
      <c r="R300" s="518"/>
      <c r="S300" s="516"/>
      <c r="T300" s="516"/>
      <c r="U300" s="660"/>
      <c r="V300" s="940"/>
      <c r="W300" s="669"/>
      <c r="X300" s="2">
        <v>68</v>
      </c>
    </row>
    <row r="301" spans="1:24" s="2" customFormat="1" x14ac:dyDescent="0.3">
      <c r="A301" s="703"/>
      <c r="B301" s="663"/>
      <c r="C301" s="663"/>
      <c r="D301" s="663"/>
      <c r="E301" s="663"/>
      <c r="F301" s="657"/>
      <c r="G301" s="968"/>
      <c r="H301" s="735"/>
      <c r="I301" s="736"/>
      <c r="J301" s="890"/>
      <c r="K301" s="893"/>
      <c r="L301" s="663"/>
      <c r="M301" s="663"/>
      <c r="N301" s="522">
        <v>45653</v>
      </c>
      <c r="O301" s="657"/>
      <c r="P301" s="516">
        <v>6783.55</v>
      </c>
      <c r="Q301" s="514">
        <v>45653</v>
      </c>
      <c r="R301" s="518"/>
      <c r="S301" s="516"/>
      <c r="T301" s="516"/>
      <c r="U301" s="660"/>
      <c r="V301" s="940"/>
      <c r="W301" s="669"/>
      <c r="X301" s="2">
        <v>68</v>
      </c>
    </row>
    <row r="302" spans="1:24" s="2" customFormat="1" x14ac:dyDescent="0.3">
      <c r="A302" s="704"/>
      <c r="B302" s="664"/>
      <c r="C302" s="664"/>
      <c r="D302" s="664"/>
      <c r="E302" s="664"/>
      <c r="F302" s="658"/>
      <c r="G302" s="969"/>
      <c r="H302" s="727"/>
      <c r="I302" s="729"/>
      <c r="J302" s="891"/>
      <c r="K302" s="894"/>
      <c r="L302" s="664"/>
      <c r="M302" s="664"/>
      <c r="N302" s="523">
        <v>45653</v>
      </c>
      <c r="O302" s="658"/>
      <c r="P302" s="519">
        <v>31747.599999999999</v>
      </c>
      <c r="Q302" s="517">
        <v>45653</v>
      </c>
      <c r="R302" s="521"/>
      <c r="S302" s="519"/>
      <c r="T302" s="519"/>
      <c r="U302" s="661"/>
      <c r="V302" s="941"/>
      <c r="W302" s="670"/>
      <c r="X302" s="2">
        <v>68</v>
      </c>
    </row>
    <row r="303" spans="1:24" s="107" customFormat="1" ht="108" x14ac:dyDescent="0.3">
      <c r="A303" s="499">
        <v>52</v>
      </c>
      <c r="B303" s="498" t="s">
        <v>56</v>
      </c>
      <c r="C303" s="498" t="s">
        <v>146</v>
      </c>
      <c r="D303" s="498" t="s">
        <v>147</v>
      </c>
      <c r="E303" s="498" t="s">
        <v>433</v>
      </c>
      <c r="F303" s="510">
        <v>45639</v>
      </c>
      <c r="G303" s="502" t="s">
        <v>432</v>
      </c>
      <c r="H303" s="559">
        <v>9940</v>
      </c>
      <c r="I303" s="501">
        <f>IF(X303 = 69, H303 + SUM(S303:S303) - SUM(T303:T303) - SUM(P303:P303) - V303,0)</f>
        <v>0</v>
      </c>
      <c r="J303" s="506">
        <v>231107998282</v>
      </c>
      <c r="K303" s="507" t="s">
        <v>199</v>
      </c>
      <c r="L303" s="498" t="s">
        <v>146</v>
      </c>
      <c r="M303" s="498"/>
      <c r="N303" s="510">
        <v>45639</v>
      </c>
      <c r="O303" s="505" t="s">
        <v>194</v>
      </c>
      <c r="P303" s="500">
        <v>9940</v>
      </c>
      <c r="Q303" s="502">
        <v>45643</v>
      </c>
      <c r="R303" s="498"/>
      <c r="S303" s="500"/>
      <c r="T303" s="500"/>
      <c r="U303" s="500"/>
      <c r="V303" s="508"/>
      <c r="W303" s="504"/>
      <c r="X303" s="107">
        <v>69</v>
      </c>
    </row>
    <row r="304" spans="1:24" s="107" customFormat="1" ht="108" x14ac:dyDescent="0.3">
      <c r="A304" s="499">
        <v>53</v>
      </c>
      <c r="B304" s="498" t="s">
        <v>56</v>
      </c>
      <c r="C304" s="498" t="s">
        <v>146</v>
      </c>
      <c r="D304" s="498" t="s">
        <v>147</v>
      </c>
      <c r="E304" s="498" t="s">
        <v>434</v>
      </c>
      <c r="F304" s="510">
        <v>45639</v>
      </c>
      <c r="G304" s="502" t="s">
        <v>435</v>
      </c>
      <c r="H304" s="559">
        <v>20050</v>
      </c>
      <c r="I304" s="501">
        <f>IF(X304 = 70, H304 + SUM(S304:S304) - SUM(T304:T304) - SUM(P304:P304) - V304,0)</f>
        <v>0</v>
      </c>
      <c r="J304" s="506">
        <v>231107998282</v>
      </c>
      <c r="K304" s="507" t="s">
        <v>199</v>
      </c>
      <c r="L304" s="498" t="s">
        <v>146</v>
      </c>
      <c r="M304" s="498"/>
      <c r="N304" s="510">
        <v>45639</v>
      </c>
      <c r="O304" s="505" t="s">
        <v>194</v>
      </c>
      <c r="P304" s="500">
        <v>20050</v>
      </c>
      <c r="Q304" s="502">
        <v>45643</v>
      </c>
      <c r="R304" s="498"/>
      <c r="S304" s="500"/>
      <c r="T304" s="500"/>
      <c r="U304" s="500"/>
      <c r="V304" s="508"/>
      <c r="W304" s="504"/>
      <c r="X304" s="107">
        <v>70</v>
      </c>
    </row>
    <row r="305" spans="2:24" x14ac:dyDescent="0.3">
      <c r="B305" s="109"/>
      <c r="X305" s="8">
        <v>71</v>
      </c>
    </row>
    <row r="306" spans="2:24" x14ac:dyDescent="0.3">
      <c r="B306" s="109"/>
    </row>
    <row r="307" spans="2:24" x14ac:dyDescent="0.3">
      <c r="B307" s="109"/>
    </row>
    <row r="308" spans="2:24" x14ac:dyDescent="0.3">
      <c r="B308" s="109"/>
      <c r="E308" s="45"/>
    </row>
  </sheetData>
  <sheetProtection password="EB34" sheet="1" objects="1" scenarios="1" formatCells="0" formatColumns="0" formatRows="0"/>
  <mergeCells count="496">
    <mergeCell ref="A279:A294"/>
    <mergeCell ref="O279:O294"/>
    <mergeCell ref="U279:U294"/>
    <mergeCell ref="B279:B294"/>
    <mergeCell ref="V279:V294"/>
    <mergeCell ref="C279:C294"/>
    <mergeCell ref="W279:W294"/>
    <mergeCell ref="D279:D294"/>
    <mergeCell ref="E279:E294"/>
    <mergeCell ref="F279:F294"/>
    <mergeCell ref="G279:G294"/>
    <mergeCell ref="H279:H294"/>
    <mergeCell ref="I279:I294"/>
    <mergeCell ref="J279:J294"/>
    <mergeCell ref="K279:K294"/>
    <mergeCell ref="L279:L294"/>
    <mergeCell ref="M279:M294"/>
    <mergeCell ref="A277:A278"/>
    <mergeCell ref="O277:O278"/>
    <mergeCell ref="U277:U278"/>
    <mergeCell ref="B277:B278"/>
    <mergeCell ref="V277:V278"/>
    <mergeCell ref="C277:C278"/>
    <mergeCell ref="W277:W278"/>
    <mergeCell ref="D277:D278"/>
    <mergeCell ref="E277:E278"/>
    <mergeCell ref="F277:F278"/>
    <mergeCell ref="G277:G278"/>
    <mergeCell ref="H277:H278"/>
    <mergeCell ref="I277:I278"/>
    <mergeCell ref="J277:J278"/>
    <mergeCell ref="K277:K278"/>
    <mergeCell ref="L277:L278"/>
    <mergeCell ref="M277:M278"/>
    <mergeCell ref="A297:A302"/>
    <mergeCell ref="O297:O302"/>
    <mergeCell ref="U297:U302"/>
    <mergeCell ref="B297:B302"/>
    <mergeCell ref="V297:V302"/>
    <mergeCell ref="C297:C302"/>
    <mergeCell ref="W297:W302"/>
    <mergeCell ref="D297:D302"/>
    <mergeCell ref="E297:E302"/>
    <mergeCell ref="F297:F302"/>
    <mergeCell ref="G297:G302"/>
    <mergeCell ref="H297:H302"/>
    <mergeCell ref="I297:I302"/>
    <mergeCell ref="J297:J302"/>
    <mergeCell ref="K297:K302"/>
    <mergeCell ref="L297:L302"/>
    <mergeCell ref="M297:M302"/>
    <mergeCell ref="M11:M22"/>
    <mergeCell ref="A144:A147"/>
    <mergeCell ref="O144:O147"/>
    <mergeCell ref="U144:U147"/>
    <mergeCell ref="B144:B147"/>
    <mergeCell ref="V144:V147"/>
    <mergeCell ref="C144:C147"/>
    <mergeCell ref="W144:W147"/>
    <mergeCell ref="D144:D147"/>
    <mergeCell ref="E144:E147"/>
    <mergeCell ref="F144:F147"/>
    <mergeCell ref="G144:G147"/>
    <mergeCell ref="H144:H147"/>
    <mergeCell ref="I144:I147"/>
    <mergeCell ref="J144:J147"/>
    <mergeCell ref="K144:K147"/>
    <mergeCell ref="L144:L147"/>
    <mergeCell ref="M144:M147"/>
    <mergeCell ref="D11:D22"/>
    <mergeCell ref="E11:E22"/>
    <mergeCell ref="F11:F22"/>
    <mergeCell ref="G11:G22"/>
    <mergeCell ref="H11:H22"/>
    <mergeCell ref="I11:I22"/>
    <mergeCell ref="J11:J22"/>
    <mergeCell ref="K11:K22"/>
    <mergeCell ref="L11:L22"/>
    <mergeCell ref="O222:O225"/>
    <mergeCell ref="U222:U225"/>
    <mergeCell ref="B222:B225"/>
    <mergeCell ref="V222:V225"/>
    <mergeCell ref="C222:C225"/>
    <mergeCell ref="W222:W225"/>
    <mergeCell ref="D222:D225"/>
    <mergeCell ref="E222:E225"/>
    <mergeCell ref="F222:F225"/>
    <mergeCell ref="G222:G225"/>
    <mergeCell ref="H222:H225"/>
    <mergeCell ref="I222:I225"/>
    <mergeCell ref="J222:J225"/>
    <mergeCell ref="K222:K225"/>
    <mergeCell ref="L222:L225"/>
    <mergeCell ref="M222:M225"/>
    <mergeCell ref="W82:W93"/>
    <mergeCell ref="D82:D93"/>
    <mergeCell ref="E82:E93"/>
    <mergeCell ref="F82:F93"/>
    <mergeCell ref="G82:G93"/>
    <mergeCell ref="W227:W235"/>
    <mergeCell ref="D227:D235"/>
    <mergeCell ref="E227:E235"/>
    <mergeCell ref="F227:F235"/>
    <mergeCell ref="G227:G235"/>
    <mergeCell ref="H227:H235"/>
    <mergeCell ref="I227:I235"/>
    <mergeCell ref="J227:J235"/>
    <mergeCell ref="K227:K235"/>
    <mergeCell ref="L227:L235"/>
    <mergeCell ref="M227:M235"/>
    <mergeCell ref="V82:V93"/>
    <mergeCell ref="C82:C93"/>
    <mergeCell ref="A222:A225"/>
    <mergeCell ref="A227:A235"/>
    <mergeCell ref="O227:O235"/>
    <mergeCell ref="U227:U235"/>
    <mergeCell ref="B227:B235"/>
    <mergeCell ref="V227:V235"/>
    <mergeCell ref="C227:C235"/>
    <mergeCell ref="J216:J218"/>
    <mergeCell ref="K216:K218"/>
    <mergeCell ref="L216:L218"/>
    <mergeCell ref="M216:M218"/>
    <mergeCell ref="C170:C173"/>
    <mergeCell ref="O216:O218"/>
    <mergeCell ref="A148:A165"/>
    <mergeCell ref="O148:O165"/>
    <mergeCell ref="B148:B165"/>
    <mergeCell ref="C148:C165"/>
    <mergeCell ref="D148:D165"/>
    <mergeCell ref="E148:E165"/>
    <mergeCell ref="F148:F165"/>
    <mergeCell ref="G148:G165"/>
    <mergeCell ref="H148:H165"/>
    <mergeCell ref="V62:V68"/>
    <mergeCell ref="C62:C68"/>
    <mergeCell ref="W62:W68"/>
    <mergeCell ref="D62:D68"/>
    <mergeCell ref="E62:E68"/>
    <mergeCell ref="F62:F68"/>
    <mergeCell ref="G62:G68"/>
    <mergeCell ref="H62:H68"/>
    <mergeCell ref="I62:I68"/>
    <mergeCell ref="J62:J68"/>
    <mergeCell ref="K62:K68"/>
    <mergeCell ref="L62:L68"/>
    <mergeCell ref="M62:M68"/>
    <mergeCell ref="A69:A80"/>
    <mergeCell ref="O69:O80"/>
    <mergeCell ref="U69:U80"/>
    <mergeCell ref="B69:B80"/>
    <mergeCell ref="M264:M266"/>
    <mergeCell ref="A62:A68"/>
    <mergeCell ref="O62:O68"/>
    <mergeCell ref="U62:U68"/>
    <mergeCell ref="B62:B68"/>
    <mergeCell ref="A82:A93"/>
    <mergeCell ref="O82:O93"/>
    <mergeCell ref="U82:U93"/>
    <mergeCell ref="B82:B93"/>
    <mergeCell ref="D264:D266"/>
    <mergeCell ref="E264:E266"/>
    <mergeCell ref="F264:F266"/>
    <mergeCell ref="G264:G266"/>
    <mergeCell ref="H264:H266"/>
    <mergeCell ref="I264:I266"/>
    <mergeCell ref="J264:J266"/>
    <mergeCell ref="K264:K266"/>
    <mergeCell ref="L264:L266"/>
    <mergeCell ref="A264:A266"/>
    <mergeCell ref="O264:O266"/>
    <mergeCell ref="V69:V80"/>
    <mergeCell ref="C69:C80"/>
    <mergeCell ref="W69:W80"/>
    <mergeCell ref="D69:D80"/>
    <mergeCell ref="E69:E80"/>
    <mergeCell ref="F69:F80"/>
    <mergeCell ref="G69:G80"/>
    <mergeCell ref="H69:H80"/>
    <mergeCell ref="I69:I80"/>
    <mergeCell ref="J69:J80"/>
    <mergeCell ref="K69:K80"/>
    <mergeCell ref="L69:L80"/>
    <mergeCell ref="M69:M80"/>
    <mergeCell ref="A11:A22"/>
    <mergeCell ref="O11:O22"/>
    <mergeCell ref="U11:U22"/>
    <mergeCell ref="B11:B22"/>
    <mergeCell ref="V11:V22"/>
    <mergeCell ref="C11:C22"/>
    <mergeCell ref="W11:W22"/>
    <mergeCell ref="W271:W275"/>
    <mergeCell ref="D271:D275"/>
    <mergeCell ref="E271:E275"/>
    <mergeCell ref="F271:F275"/>
    <mergeCell ref="G271:G275"/>
    <mergeCell ref="H271:H275"/>
    <mergeCell ref="I271:I275"/>
    <mergeCell ref="J271:J275"/>
    <mergeCell ref="K271:K275"/>
    <mergeCell ref="L271:L275"/>
    <mergeCell ref="M271:M275"/>
    <mergeCell ref="A271:A275"/>
    <mergeCell ref="O271:O275"/>
    <mergeCell ref="U271:U275"/>
    <mergeCell ref="B271:B275"/>
    <mergeCell ref="V271:V275"/>
    <mergeCell ref="C271:C275"/>
    <mergeCell ref="U264:U266"/>
    <mergeCell ref="B264:B266"/>
    <mergeCell ref="V264:V266"/>
    <mergeCell ref="C264:C266"/>
    <mergeCell ref="W264:W266"/>
    <mergeCell ref="A23:A49"/>
    <mergeCell ref="O23:O49"/>
    <mergeCell ref="U23:U49"/>
    <mergeCell ref="B23:B49"/>
    <mergeCell ref="V23:V49"/>
    <mergeCell ref="C23:C49"/>
    <mergeCell ref="W23:W49"/>
    <mergeCell ref="U216:U218"/>
    <mergeCell ref="V216:V218"/>
    <mergeCell ref="C216:C218"/>
    <mergeCell ref="W216:W218"/>
    <mergeCell ref="D216:D218"/>
    <mergeCell ref="E216:E218"/>
    <mergeCell ref="F216:F218"/>
    <mergeCell ref="G216:G218"/>
    <mergeCell ref="H216:H218"/>
    <mergeCell ref="I216:I218"/>
    <mergeCell ref="A216:A218"/>
    <mergeCell ref="B216:B218"/>
    <mergeCell ref="A194:A212"/>
    <mergeCell ref="B194:B212"/>
    <mergeCell ref="A170:A173"/>
    <mergeCell ref="O170:O173"/>
    <mergeCell ref="B170:B173"/>
    <mergeCell ref="C194:C212"/>
    <mergeCell ref="A174:A177"/>
    <mergeCell ref="B174:B177"/>
    <mergeCell ref="A178:A193"/>
    <mergeCell ref="B178:B193"/>
    <mergeCell ref="W94:W118"/>
    <mergeCell ref="W119:W124"/>
    <mergeCell ref="E119:E124"/>
    <mergeCell ref="F119:F124"/>
    <mergeCell ref="G119:G124"/>
    <mergeCell ref="O138:O143"/>
    <mergeCell ref="U138:U143"/>
    <mergeCell ref="V138:V143"/>
    <mergeCell ref="H119:H124"/>
    <mergeCell ref="I119:I124"/>
    <mergeCell ref="J119:J124"/>
    <mergeCell ref="K119:K124"/>
    <mergeCell ref="L119:L124"/>
    <mergeCell ref="M119:M124"/>
    <mergeCell ref="O119:O124"/>
    <mergeCell ref="U119:U124"/>
    <mergeCell ref="L94:L118"/>
    <mergeCell ref="M94:M118"/>
    <mergeCell ref="H94:H118"/>
    <mergeCell ref="W125:W130"/>
    <mergeCell ref="W138:W143"/>
    <mergeCell ref="D138:D143"/>
    <mergeCell ref="E138:E143"/>
    <mergeCell ref="F138:F143"/>
    <mergeCell ref="G138:G143"/>
    <mergeCell ref="H138:H143"/>
    <mergeCell ref="I138:I143"/>
    <mergeCell ref="J138:J143"/>
    <mergeCell ref="M174:M177"/>
    <mergeCell ref="U178:U193"/>
    <mergeCell ref="U170:U173"/>
    <mergeCell ref="K148:K165"/>
    <mergeCell ref="L148:L165"/>
    <mergeCell ref="O174:O177"/>
    <mergeCell ref="U174:U177"/>
    <mergeCell ref="J148:J165"/>
    <mergeCell ref="M178:M193"/>
    <mergeCell ref="H174:H177"/>
    <mergeCell ref="K174:K177"/>
    <mergeCell ref="L174:L177"/>
    <mergeCell ref="I174:I177"/>
    <mergeCell ref="V178:V193"/>
    <mergeCell ref="C178:C193"/>
    <mergeCell ref="W178:W193"/>
    <mergeCell ref="D178:D193"/>
    <mergeCell ref="E178:E193"/>
    <mergeCell ref="F178:F193"/>
    <mergeCell ref="G178:G193"/>
    <mergeCell ref="H178:H193"/>
    <mergeCell ref="I178:I193"/>
    <mergeCell ref="J178:J193"/>
    <mergeCell ref="K178:K193"/>
    <mergeCell ref="L178:L193"/>
    <mergeCell ref="O178:O193"/>
    <mergeCell ref="W194:W212"/>
    <mergeCell ref="D194:D212"/>
    <mergeCell ref="E194:E212"/>
    <mergeCell ref="F194:F212"/>
    <mergeCell ref="G194:G212"/>
    <mergeCell ref="H194:H212"/>
    <mergeCell ref="I194:I212"/>
    <mergeCell ref="J194:J212"/>
    <mergeCell ref="K194:K212"/>
    <mergeCell ref="L194:L212"/>
    <mergeCell ref="M194:M212"/>
    <mergeCell ref="O194:O212"/>
    <mergeCell ref="U194:U212"/>
    <mergeCell ref="V194:V212"/>
    <mergeCell ref="W174:W177"/>
    <mergeCell ref="D174:D177"/>
    <mergeCell ref="E174:E177"/>
    <mergeCell ref="F174:F177"/>
    <mergeCell ref="J174:J177"/>
    <mergeCell ref="A94:A118"/>
    <mergeCell ref="O94:O118"/>
    <mergeCell ref="U94:U118"/>
    <mergeCell ref="B94:B118"/>
    <mergeCell ref="V94:V118"/>
    <mergeCell ref="C94:C118"/>
    <mergeCell ref="W131:W136"/>
    <mergeCell ref="M131:M136"/>
    <mergeCell ref="H131:H136"/>
    <mergeCell ref="I131:I136"/>
    <mergeCell ref="J131:J136"/>
    <mergeCell ref="K131:K136"/>
    <mergeCell ref="K138:K143"/>
    <mergeCell ref="W148:W165"/>
    <mergeCell ref="M148:M165"/>
    <mergeCell ref="U131:U136"/>
    <mergeCell ref="U148:U165"/>
    <mergeCell ref="V148:V165"/>
    <mergeCell ref="I148:I165"/>
    <mergeCell ref="V174:V177"/>
    <mergeCell ref="C174:C177"/>
    <mergeCell ref="G174:G177"/>
    <mergeCell ref="G170:G173"/>
    <mergeCell ref="H170:H173"/>
    <mergeCell ref="I170:I173"/>
    <mergeCell ref="J170:J173"/>
    <mergeCell ref="K170:K173"/>
    <mergeCell ref="L170:L173"/>
    <mergeCell ref="M170:M173"/>
    <mergeCell ref="V170:V173"/>
    <mergeCell ref="D170:D173"/>
    <mergeCell ref="E170:E173"/>
    <mergeCell ref="F170:F173"/>
    <mergeCell ref="I23:I49"/>
    <mergeCell ref="M23:M49"/>
    <mergeCell ref="J23:J49"/>
    <mergeCell ref="K23:K49"/>
    <mergeCell ref="L23:L49"/>
    <mergeCell ref="U125:U130"/>
    <mergeCell ref="C119:C124"/>
    <mergeCell ref="D131:D136"/>
    <mergeCell ref="E131:E136"/>
    <mergeCell ref="F131:F136"/>
    <mergeCell ref="G131:G136"/>
    <mergeCell ref="D119:D124"/>
    <mergeCell ref="I94:I118"/>
    <mergeCell ref="J94:J118"/>
    <mergeCell ref="H82:H93"/>
    <mergeCell ref="I82:I93"/>
    <mergeCell ref="J82:J93"/>
    <mergeCell ref="K82:K93"/>
    <mergeCell ref="L82:L93"/>
    <mergeCell ref="M82:M93"/>
    <mergeCell ref="A50:A61"/>
    <mergeCell ref="O50:O61"/>
    <mergeCell ref="U50:U61"/>
    <mergeCell ref="B50:B61"/>
    <mergeCell ref="V50:V61"/>
    <mergeCell ref="C50:C61"/>
    <mergeCell ref="L125:L130"/>
    <mergeCell ref="S2:U2"/>
    <mergeCell ref="F2:G2"/>
    <mergeCell ref="N2:O2"/>
    <mergeCell ref="D94:D118"/>
    <mergeCell ref="E94:E118"/>
    <mergeCell ref="F94:F118"/>
    <mergeCell ref="G94:G118"/>
    <mergeCell ref="D125:D130"/>
    <mergeCell ref="E125:E130"/>
    <mergeCell ref="F125:F130"/>
    <mergeCell ref="G125:G130"/>
    <mergeCell ref="K94:K118"/>
    <mergeCell ref="D23:D49"/>
    <mergeCell ref="E23:E49"/>
    <mergeCell ref="F23:F49"/>
    <mergeCell ref="G23:G49"/>
    <mergeCell ref="H23:H49"/>
    <mergeCell ref="W9:W10"/>
    <mergeCell ref="D9:D10"/>
    <mergeCell ref="E9:E10"/>
    <mergeCell ref="F9:F10"/>
    <mergeCell ref="G9:G10"/>
    <mergeCell ref="H9:H10"/>
    <mergeCell ref="A9:A10"/>
    <mergeCell ref="O9:O10"/>
    <mergeCell ref="U9:U10"/>
    <mergeCell ref="B9:B10"/>
    <mergeCell ref="C9:C10"/>
    <mergeCell ref="V9:V10"/>
    <mergeCell ref="I9:I10"/>
    <mergeCell ref="J9:J10"/>
    <mergeCell ref="K9:K10"/>
    <mergeCell ref="L9:L10"/>
    <mergeCell ref="M9:M10"/>
    <mergeCell ref="A138:A143"/>
    <mergeCell ref="B138:B143"/>
    <mergeCell ref="L138:L143"/>
    <mergeCell ref="M138:M143"/>
    <mergeCell ref="B119:B124"/>
    <mergeCell ref="V119:V124"/>
    <mergeCell ref="A131:A136"/>
    <mergeCell ref="O131:O136"/>
    <mergeCell ref="B131:B136"/>
    <mergeCell ref="V131:V136"/>
    <mergeCell ref="C131:C136"/>
    <mergeCell ref="A125:A130"/>
    <mergeCell ref="O125:O130"/>
    <mergeCell ref="A119:A124"/>
    <mergeCell ref="L131:L136"/>
    <mergeCell ref="H125:H130"/>
    <mergeCell ref="I125:I130"/>
    <mergeCell ref="J125:J130"/>
    <mergeCell ref="K125:K130"/>
    <mergeCell ref="B125:B130"/>
    <mergeCell ref="C125:C130"/>
    <mergeCell ref="V125:V130"/>
    <mergeCell ref="M125:M130"/>
    <mergeCell ref="C138:C143"/>
    <mergeCell ref="W170:W173"/>
    <mergeCell ref="A262:A263"/>
    <mergeCell ref="O262:O263"/>
    <mergeCell ref="U262:U263"/>
    <mergeCell ref="B262:B263"/>
    <mergeCell ref="V262:V263"/>
    <mergeCell ref="C262:C263"/>
    <mergeCell ref="W262:W263"/>
    <mergeCell ref="D262:D263"/>
    <mergeCell ref="E262:E263"/>
    <mergeCell ref="F262:F263"/>
    <mergeCell ref="G262:G263"/>
    <mergeCell ref="H262:H263"/>
    <mergeCell ref="I262:I263"/>
    <mergeCell ref="J262:J263"/>
    <mergeCell ref="K262:K263"/>
    <mergeCell ref="L262:L263"/>
    <mergeCell ref="M262:M263"/>
    <mergeCell ref="A258:A259"/>
    <mergeCell ref="O258:O259"/>
    <mergeCell ref="U258:U259"/>
    <mergeCell ref="B258:B259"/>
    <mergeCell ref="V258:V259"/>
    <mergeCell ref="C258:C259"/>
    <mergeCell ref="W258:W259"/>
    <mergeCell ref="D258:D259"/>
    <mergeCell ref="E258:E259"/>
    <mergeCell ref="F258:F259"/>
    <mergeCell ref="G258:G259"/>
    <mergeCell ref="H258:H259"/>
    <mergeCell ref="I258:I259"/>
    <mergeCell ref="J258:J259"/>
    <mergeCell ref="K258:K259"/>
    <mergeCell ref="L258:L259"/>
    <mergeCell ref="M258:M259"/>
    <mergeCell ref="W50:W61"/>
    <mergeCell ref="D50:D61"/>
    <mergeCell ref="E50:E61"/>
    <mergeCell ref="F50:F61"/>
    <mergeCell ref="G50:G61"/>
    <mergeCell ref="H50:H61"/>
    <mergeCell ref="I50:I61"/>
    <mergeCell ref="J50:J61"/>
    <mergeCell ref="K50:K61"/>
    <mergeCell ref="L50:L61"/>
    <mergeCell ref="M50:M61"/>
    <mergeCell ref="A236:A257"/>
    <mergeCell ref="O236:O257"/>
    <mergeCell ref="U236:U257"/>
    <mergeCell ref="B236:B257"/>
    <mergeCell ref="V236:V257"/>
    <mergeCell ref="C236:C257"/>
    <mergeCell ref="W236:W257"/>
    <mergeCell ref="D236:D257"/>
    <mergeCell ref="E236:E257"/>
    <mergeCell ref="F236:F257"/>
    <mergeCell ref="G236:G257"/>
    <mergeCell ref="H236:H257"/>
    <mergeCell ref="I236:I257"/>
    <mergeCell ref="J236:J257"/>
    <mergeCell ref="K236:K257"/>
    <mergeCell ref="L236:L257"/>
    <mergeCell ref="M236:M25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17"/>
  <sheetViews>
    <sheetView showGridLines="0" zoomScale="70" zoomScaleNormal="70" workbookViewId="0">
      <pane ySplit="8" topLeftCell="A9" activePane="bottomLeft" state="frozen"/>
      <selection pane="bottomLeft" activeCell="G9" sqref="G9:G16"/>
    </sheetView>
  </sheetViews>
  <sheetFormatPr defaultColWidth="0" defaultRowHeight="18" x14ac:dyDescent="0.3"/>
  <cols>
    <col min="1" max="1" width="14" style="3" customWidth="1"/>
    <col min="2" max="2" width="25.44140625" style="3" customWidth="1"/>
    <col min="3" max="3" width="39.5546875" style="3" bestFit="1" customWidth="1"/>
    <col min="4" max="4" width="23.88671875" style="3" customWidth="1"/>
    <col min="5" max="5" width="32.44140625" style="3" customWidth="1"/>
    <col min="6" max="6" width="27.44140625" style="12" customWidth="1"/>
    <col min="7" max="7" width="27.44140625" style="3" customWidth="1"/>
    <col min="8" max="8" width="33" style="3" customWidth="1"/>
    <col min="9" max="10" width="27.33203125" style="11" customWidth="1"/>
    <col min="11" max="11" width="26.5546875" style="3" customWidth="1"/>
    <col min="12" max="12" width="38.44140625" style="12" customWidth="1"/>
    <col min="13" max="13" width="37.5546875" style="3" customWidth="1"/>
    <col min="14" max="14" width="24.6640625" style="11" customWidth="1"/>
    <col min="15" max="15" width="24.44140625" style="12" customWidth="1"/>
    <col min="16" max="16" width="24.33203125" style="12" customWidth="1"/>
    <col min="17" max="17" width="27.44140625" style="12" customWidth="1"/>
    <col min="18" max="18" width="27.109375" style="12" customWidth="1"/>
    <col min="19" max="19" width="23.44140625" style="12" customWidth="1"/>
    <col min="20" max="20" width="22.88671875" style="11" customWidth="1"/>
    <col min="21" max="21" width="21.88671875" style="8" customWidth="1"/>
    <col min="22" max="16384" width="9.109375" style="8" hidden="1"/>
  </cols>
  <sheetData>
    <row r="1" spans="1:22" ht="18.600000000000001" thickBot="1" x14ac:dyDescent="0.35"/>
    <row r="2" spans="1:22" ht="39.9" customHeight="1" thickBot="1" x14ac:dyDescent="0.35">
      <c r="B2" s="86"/>
      <c r="C2" s="86"/>
      <c r="D2" s="86"/>
      <c r="E2" s="858" t="s">
        <v>24</v>
      </c>
      <c r="F2" s="859"/>
      <c r="G2" s="98">
        <f>SUM(G9:G9999)</f>
        <v>2306536.8499999996</v>
      </c>
      <c r="L2" s="976" t="s">
        <v>137</v>
      </c>
      <c r="M2" s="977"/>
      <c r="N2" s="87">
        <f>SUM(N9:N9999)</f>
        <v>1918727.5699999998</v>
      </c>
      <c r="P2" s="86"/>
      <c r="Q2" s="683" t="s">
        <v>45</v>
      </c>
      <c r="R2" s="684"/>
      <c r="S2" s="685"/>
      <c r="T2" s="88">
        <f>SUM(T9:T9999)</f>
        <v>0</v>
      </c>
    </row>
    <row r="3" spans="1:22" x14ac:dyDescent="0.3">
      <c r="E3" s="38"/>
      <c r="F3" s="38"/>
      <c r="G3" s="38"/>
      <c r="H3" s="38"/>
      <c r="I3" s="43"/>
      <c r="J3" s="44"/>
      <c r="K3" s="41"/>
      <c r="L3" s="38"/>
      <c r="M3" s="38"/>
      <c r="N3" s="43"/>
      <c r="O3" s="42"/>
      <c r="P3" s="38"/>
      <c r="Q3" s="38"/>
      <c r="R3" s="38"/>
      <c r="S3" s="38"/>
      <c r="T3" s="43"/>
    </row>
    <row r="4" spans="1:22" ht="39.9" customHeight="1" x14ac:dyDescent="0.3">
      <c r="E4" s="38"/>
      <c r="F4" s="38"/>
      <c r="G4" s="38"/>
      <c r="H4" s="38"/>
      <c r="I4" s="43"/>
      <c r="J4" s="44"/>
      <c r="K4" s="41"/>
      <c r="L4" s="38"/>
      <c r="M4" s="38"/>
      <c r="N4" s="43"/>
      <c r="O4" s="42"/>
      <c r="P4" s="38"/>
      <c r="Q4" s="38"/>
      <c r="R4" s="38"/>
      <c r="S4" s="38"/>
      <c r="T4" s="43"/>
    </row>
    <row r="6" spans="1:22" ht="144" x14ac:dyDescent="0.3">
      <c r="A6" s="28" t="s">
        <v>8</v>
      </c>
      <c r="B6" s="28" t="s">
        <v>21</v>
      </c>
      <c r="C6" s="28" t="s">
        <v>10</v>
      </c>
      <c r="D6" s="28" t="s">
        <v>15</v>
      </c>
      <c r="E6" s="28" t="s">
        <v>0</v>
      </c>
      <c r="F6" s="27" t="s">
        <v>3</v>
      </c>
      <c r="G6" s="28" t="s">
        <v>38</v>
      </c>
      <c r="H6" s="28" t="s">
        <v>22</v>
      </c>
      <c r="I6" s="89" t="s">
        <v>46</v>
      </c>
      <c r="J6" s="89" t="s">
        <v>5</v>
      </c>
      <c r="K6" s="28" t="s">
        <v>39</v>
      </c>
      <c r="L6" s="27" t="s">
        <v>37</v>
      </c>
      <c r="M6" s="28" t="s">
        <v>6</v>
      </c>
      <c r="N6" s="89" t="s">
        <v>23</v>
      </c>
      <c r="O6" s="27" t="s">
        <v>9</v>
      </c>
      <c r="P6" s="27" t="s">
        <v>40</v>
      </c>
      <c r="Q6" s="27" t="s">
        <v>103</v>
      </c>
      <c r="R6" s="27" t="s">
        <v>104</v>
      </c>
      <c r="S6" s="27" t="s">
        <v>41</v>
      </c>
      <c r="T6" s="89" t="s">
        <v>43</v>
      </c>
      <c r="U6" s="17" t="s">
        <v>42</v>
      </c>
    </row>
    <row r="7" spans="1:22" ht="16.8" customHeight="1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</row>
    <row r="8" spans="1:22" s="18" customFormat="1" ht="108" hidden="1" x14ac:dyDescent="0.3">
      <c r="A8" s="90" t="s">
        <v>36</v>
      </c>
      <c r="B8" s="90" t="s">
        <v>67</v>
      </c>
      <c r="C8" s="90" t="s">
        <v>66</v>
      </c>
      <c r="D8" s="90" t="s">
        <v>48</v>
      </c>
      <c r="E8" s="95">
        <v>43823</v>
      </c>
      <c r="F8" s="91" t="s">
        <v>65</v>
      </c>
      <c r="G8" s="92">
        <v>100000</v>
      </c>
      <c r="H8" s="92">
        <v>90000</v>
      </c>
      <c r="I8" s="96">
        <v>2308091759</v>
      </c>
      <c r="J8" s="90" t="s">
        <v>68</v>
      </c>
      <c r="K8" s="90" t="s">
        <v>69</v>
      </c>
      <c r="L8" s="91">
        <v>43801</v>
      </c>
      <c r="M8" s="90" t="s">
        <v>70</v>
      </c>
      <c r="N8" s="92">
        <v>10000</v>
      </c>
      <c r="O8" s="91">
        <v>43489</v>
      </c>
      <c r="P8" s="91"/>
      <c r="Q8" s="91"/>
      <c r="R8" s="91"/>
      <c r="S8" s="91"/>
      <c r="T8" s="92"/>
      <c r="U8" s="93" t="s">
        <v>64</v>
      </c>
    </row>
    <row r="9" spans="1:22" s="107" customFormat="1" ht="37.5" customHeight="1" x14ac:dyDescent="0.3">
      <c r="A9" s="702">
        <v>1</v>
      </c>
      <c r="B9" s="662"/>
      <c r="C9" s="662" t="s">
        <v>171</v>
      </c>
      <c r="D9" s="662" t="s">
        <v>152</v>
      </c>
      <c r="E9" s="656">
        <v>45289</v>
      </c>
      <c r="F9" s="967" t="s">
        <v>153</v>
      </c>
      <c r="G9" s="659">
        <v>1201103.3999999999</v>
      </c>
      <c r="H9" s="728">
        <f>IF(V9 = 1, G9 + SUM(Q9:Q14) - SUM(R9:R14) - SUM(N9:N14) - T9,0)</f>
        <v>387809.27999999991</v>
      </c>
      <c r="I9" s="994">
        <v>2312054894</v>
      </c>
      <c r="J9" s="662" t="s">
        <v>154</v>
      </c>
      <c r="K9" s="662" t="s">
        <v>155</v>
      </c>
      <c r="L9" s="522">
        <v>45322</v>
      </c>
      <c r="M9" s="662" t="s">
        <v>151</v>
      </c>
      <c r="N9" s="513">
        <v>204433.07</v>
      </c>
      <c r="O9" s="522">
        <v>45337</v>
      </c>
      <c r="P9" s="514"/>
      <c r="Q9" s="513"/>
      <c r="R9" s="513"/>
      <c r="S9" s="967"/>
      <c r="T9" s="659"/>
      <c r="U9" s="668"/>
      <c r="V9" s="107">
        <v>1</v>
      </c>
    </row>
    <row r="10" spans="1:22" s="2" customFormat="1" x14ac:dyDescent="0.3">
      <c r="A10" s="703"/>
      <c r="B10" s="663"/>
      <c r="C10" s="663"/>
      <c r="D10" s="663"/>
      <c r="E10" s="657"/>
      <c r="F10" s="968"/>
      <c r="G10" s="660"/>
      <c r="H10" s="736"/>
      <c r="I10" s="995"/>
      <c r="J10" s="663"/>
      <c r="K10" s="663"/>
      <c r="L10" s="523">
        <v>45351</v>
      </c>
      <c r="M10" s="663"/>
      <c r="N10" s="516">
        <v>219406.46</v>
      </c>
      <c r="O10" s="523">
        <v>45376</v>
      </c>
      <c r="P10" s="517"/>
      <c r="Q10" s="516"/>
      <c r="R10" s="516"/>
      <c r="S10" s="968"/>
      <c r="T10" s="660"/>
      <c r="U10" s="669"/>
      <c r="V10" s="2">
        <v>1</v>
      </c>
    </row>
    <row r="11" spans="1:22" s="2" customFormat="1" x14ac:dyDescent="0.3">
      <c r="A11" s="703"/>
      <c r="B11" s="663"/>
      <c r="C11" s="663"/>
      <c r="D11" s="663"/>
      <c r="E11" s="657"/>
      <c r="F11" s="968"/>
      <c r="G11" s="660"/>
      <c r="H11" s="736"/>
      <c r="I11" s="995"/>
      <c r="J11" s="663"/>
      <c r="K11" s="663"/>
      <c r="L11" s="523">
        <v>45382</v>
      </c>
      <c r="M11" s="663"/>
      <c r="N11" s="516">
        <v>170117.08</v>
      </c>
      <c r="O11" s="523">
        <v>45406</v>
      </c>
      <c r="P11" s="517"/>
      <c r="Q11" s="516"/>
      <c r="R11" s="516"/>
      <c r="S11" s="968"/>
      <c r="T11" s="660"/>
      <c r="U11" s="669"/>
      <c r="V11" s="2">
        <v>1</v>
      </c>
    </row>
    <row r="12" spans="1:22" s="2" customFormat="1" x14ac:dyDescent="0.3">
      <c r="A12" s="703"/>
      <c r="B12" s="663"/>
      <c r="C12" s="663"/>
      <c r="D12" s="663"/>
      <c r="E12" s="657"/>
      <c r="F12" s="968"/>
      <c r="G12" s="660"/>
      <c r="H12" s="736"/>
      <c r="I12" s="995"/>
      <c r="J12" s="663"/>
      <c r="K12" s="663"/>
      <c r="L12" s="523">
        <v>45412</v>
      </c>
      <c r="M12" s="663"/>
      <c r="N12" s="516">
        <v>41244.85</v>
      </c>
      <c r="O12" s="523">
        <v>45436</v>
      </c>
      <c r="P12" s="517"/>
      <c r="Q12" s="516"/>
      <c r="R12" s="516"/>
      <c r="S12" s="968"/>
      <c r="T12" s="660"/>
      <c r="U12" s="669"/>
      <c r="V12" s="2">
        <v>1</v>
      </c>
    </row>
    <row r="13" spans="1:22" s="2" customFormat="1" x14ac:dyDescent="0.3">
      <c r="A13" s="703"/>
      <c r="B13" s="663"/>
      <c r="C13" s="663"/>
      <c r="D13" s="663"/>
      <c r="E13" s="657"/>
      <c r="F13" s="968"/>
      <c r="G13" s="660"/>
      <c r="H13" s="736"/>
      <c r="I13" s="995"/>
      <c r="J13" s="663"/>
      <c r="K13" s="663"/>
      <c r="L13" s="523">
        <v>45596</v>
      </c>
      <c r="M13" s="663"/>
      <c r="N13" s="516">
        <v>41236.28</v>
      </c>
      <c r="O13" s="523">
        <v>45615</v>
      </c>
      <c r="P13" s="517"/>
      <c r="Q13" s="516"/>
      <c r="R13" s="516"/>
      <c r="S13" s="968"/>
      <c r="T13" s="660"/>
      <c r="U13" s="669"/>
      <c r="V13" s="2">
        <v>1</v>
      </c>
    </row>
    <row r="14" spans="1:22" s="2" customFormat="1" x14ac:dyDescent="0.3">
      <c r="A14" s="704"/>
      <c r="B14" s="664"/>
      <c r="C14" s="664"/>
      <c r="D14" s="664"/>
      <c r="E14" s="658"/>
      <c r="F14" s="969"/>
      <c r="G14" s="661"/>
      <c r="H14" s="729"/>
      <c r="I14" s="996"/>
      <c r="J14" s="664"/>
      <c r="K14" s="664"/>
      <c r="L14" s="524">
        <v>45626</v>
      </c>
      <c r="M14" s="664"/>
      <c r="N14" s="519">
        <v>136856.38</v>
      </c>
      <c r="O14" s="524">
        <v>45643</v>
      </c>
      <c r="P14" s="520"/>
      <c r="Q14" s="519"/>
      <c r="R14" s="519"/>
      <c r="S14" s="969"/>
      <c r="T14" s="661"/>
      <c r="U14" s="670"/>
      <c r="V14" s="2">
        <v>1</v>
      </c>
    </row>
    <row r="15" spans="1:22" s="107" customFormat="1" ht="108" customHeight="1" x14ac:dyDescent="0.3">
      <c r="A15" s="978">
        <v>2</v>
      </c>
      <c r="B15" s="980"/>
      <c r="C15" s="980" t="s">
        <v>147</v>
      </c>
      <c r="D15" s="980" t="s">
        <v>239</v>
      </c>
      <c r="E15" s="988">
        <v>45366</v>
      </c>
      <c r="F15" s="982" t="s">
        <v>240</v>
      </c>
      <c r="G15" s="984">
        <v>1105433.45</v>
      </c>
      <c r="H15" s="990">
        <f>IF(V15 = 2, G15 + SUM(Q15:Q16) - SUM(R15:R16) - SUM(N15:N16) - T15,0)</f>
        <v>0</v>
      </c>
      <c r="I15" s="992">
        <v>7715995942</v>
      </c>
      <c r="J15" s="980" t="s">
        <v>241</v>
      </c>
      <c r="K15" s="980" t="s">
        <v>242</v>
      </c>
      <c r="L15" s="291">
        <v>45397</v>
      </c>
      <c r="M15" s="980" t="s">
        <v>194</v>
      </c>
      <c r="N15" s="287">
        <v>1032715.2</v>
      </c>
      <c r="O15" s="291">
        <v>45429</v>
      </c>
      <c r="P15" s="288"/>
      <c r="Q15" s="287"/>
      <c r="R15" s="287"/>
      <c r="S15" s="982"/>
      <c r="T15" s="984"/>
      <c r="U15" s="986"/>
      <c r="V15" s="107">
        <v>2</v>
      </c>
    </row>
    <row r="16" spans="1:22" s="2" customFormat="1" x14ac:dyDescent="0.3">
      <c r="A16" s="979"/>
      <c r="B16" s="981"/>
      <c r="C16" s="981"/>
      <c r="D16" s="981"/>
      <c r="E16" s="989"/>
      <c r="F16" s="983"/>
      <c r="G16" s="985"/>
      <c r="H16" s="991"/>
      <c r="I16" s="993"/>
      <c r="J16" s="981"/>
      <c r="K16" s="981"/>
      <c r="L16" s="292">
        <v>45444</v>
      </c>
      <c r="M16" s="981"/>
      <c r="N16" s="289">
        <v>72718.25</v>
      </c>
      <c r="O16" s="292">
        <v>45467</v>
      </c>
      <c r="P16" s="290"/>
      <c r="Q16" s="289"/>
      <c r="R16" s="289"/>
      <c r="S16" s="983"/>
      <c r="T16" s="985"/>
      <c r="U16" s="987"/>
      <c r="V16" s="2">
        <v>2</v>
      </c>
    </row>
    <row r="17" spans="22:22" x14ac:dyDescent="0.3">
      <c r="V17" s="8">
        <v>3</v>
      </c>
    </row>
  </sheetData>
  <sheetProtection password="EB34" sheet="1" objects="1" scenarios="1" formatCells="0" formatColumns="0" formatRows="0"/>
  <mergeCells count="33">
    <mergeCell ref="J15:J16"/>
    <mergeCell ref="K15:K16"/>
    <mergeCell ref="F9:F14"/>
    <mergeCell ref="G9:G14"/>
    <mergeCell ref="H9:H14"/>
    <mergeCell ref="I9:I14"/>
    <mergeCell ref="J9:J14"/>
    <mergeCell ref="T9:T14"/>
    <mergeCell ref="U9:U14"/>
    <mergeCell ref="K9:K14"/>
    <mergeCell ref="A15:A16"/>
    <mergeCell ref="M15:M16"/>
    <mergeCell ref="S15:S16"/>
    <mergeCell ref="B15:B16"/>
    <mergeCell ref="T15:T16"/>
    <mergeCell ref="C15:C16"/>
    <mergeCell ref="U15:U16"/>
    <mergeCell ref="D15:D16"/>
    <mergeCell ref="E15:E16"/>
    <mergeCell ref="F15:F16"/>
    <mergeCell ref="G15:G16"/>
    <mergeCell ref="H15:H16"/>
    <mergeCell ref="I15:I16"/>
    <mergeCell ref="Q2:S2"/>
    <mergeCell ref="E2:F2"/>
    <mergeCell ref="L2:M2"/>
    <mergeCell ref="A9:A14"/>
    <mergeCell ref="B9:B14"/>
    <mergeCell ref="C9:C14"/>
    <mergeCell ref="D9:D14"/>
    <mergeCell ref="E9:E14"/>
    <mergeCell ref="M9:M14"/>
    <mergeCell ref="S9:S1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37"/>
  <sheetViews>
    <sheetView showGridLines="0" topLeftCell="U1" zoomScale="70" zoomScaleNormal="70" workbookViewId="0">
      <pane ySplit="8" topLeftCell="A31" activePane="bottomLeft" state="frozen"/>
      <selection pane="bottomLeft" activeCell="AB19" sqref="AB19:AB36"/>
    </sheetView>
  </sheetViews>
  <sheetFormatPr defaultColWidth="0" defaultRowHeight="18" x14ac:dyDescent="0.3"/>
  <cols>
    <col min="1" max="1" width="9.109375" style="3" customWidth="1"/>
    <col min="2" max="2" width="44" style="3" customWidth="1"/>
    <col min="3" max="3" width="30.6640625" style="3" customWidth="1"/>
    <col min="4" max="6" width="33.6640625" style="3" customWidth="1"/>
    <col min="7" max="8" width="22.33203125" style="11" customWidth="1"/>
    <col min="9" max="9" width="24.33203125" style="35" customWidth="1"/>
    <col min="10" max="10" width="28.44140625" style="35" customWidth="1"/>
    <col min="11" max="12" width="19.5546875" style="3" customWidth="1"/>
    <col min="13" max="13" width="25.6640625" style="3" customWidth="1"/>
    <col min="14" max="14" width="24.44140625" style="12" bestFit="1" customWidth="1"/>
    <col min="15" max="15" width="24.44140625" style="3" customWidth="1"/>
    <col min="16" max="16" width="31.5546875" style="3" customWidth="1"/>
    <col min="17" max="18" width="21.88671875" style="11" customWidth="1"/>
    <col min="19" max="19" width="23.5546875" style="3" customWidth="1"/>
    <col min="20" max="20" width="31.33203125" style="12" customWidth="1"/>
    <col min="21" max="21" width="27.6640625" style="12" customWidth="1"/>
    <col min="22" max="22" width="25.44140625" style="11" customWidth="1"/>
    <col min="23" max="23" width="25" style="12" customWidth="1"/>
    <col min="24" max="24" width="24.5546875" style="3" customWidth="1"/>
    <col min="25" max="25" width="24.88671875" style="3" customWidth="1"/>
    <col min="26" max="26" width="24" style="3" customWidth="1"/>
    <col min="27" max="27" width="23.6640625" style="12" customWidth="1"/>
    <col min="28" max="28" width="19.109375" style="11" customWidth="1"/>
    <col min="29" max="29" width="23.109375" style="3" customWidth="1"/>
    <col min="30" max="30" width="9.109375" style="8" hidden="1" customWidth="1"/>
    <col min="31" max="31" width="8.5546875" style="8" hidden="1" customWidth="1"/>
    <col min="32" max="38" width="0" style="8" hidden="1" customWidth="1"/>
    <col min="39" max="16384" width="9.109375" style="8" hidden="1"/>
  </cols>
  <sheetData>
    <row r="1" spans="1:33" ht="18.600000000000001" thickBot="1" x14ac:dyDescent="0.35"/>
    <row r="2" spans="1:33" ht="39.9" customHeight="1" thickBot="1" x14ac:dyDescent="0.35">
      <c r="E2" s="858" t="s">
        <v>139</v>
      </c>
      <c r="F2" s="859"/>
      <c r="G2" s="100">
        <f>SUM(G9:G9999)</f>
        <v>2199589.56</v>
      </c>
      <c r="H2" s="15"/>
      <c r="O2" s="858" t="s">
        <v>24</v>
      </c>
      <c r="P2" s="859"/>
      <c r="Q2" s="98">
        <f>SUM(Q9:Q9999)</f>
        <v>1722277.84</v>
      </c>
      <c r="T2" s="683" t="s">
        <v>137</v>
      </c>
      <c r="U2" s="685"/>
      <c r="V2" s="87">
        <f>SUM(V9:V9999)</f>
        <v>1025695.3300000001</v>
      </c>
      <c r="X2" s="86"/>
      <c r="Y2" s="683" t="s">
        <v>45</v>
      </c>
      <c r="Z2" s="684"/>
      <c r="AA2" s="685"/>
      <c r="AB2" s="88">
        <f>SUM(AB9:AB9999)</f>
        <v>696582.51</v>
      </c>
    </row>
    <row r="3" spans="1:33" x14ac:dyDescent="0.3">
      <c r="F3" s="45"/>
      <c r="G3" s="43"/>
      <c r="H3" s="43"/>
      <c r="I3" s="46"/>
      <c r="J3" s="46"/>
      <c r="K3" s="41"/>
      <c r="L3" s="41"/>
      <c r="M3" s="41"/>
      <c r="N3" s="42"/>
      <c r="O3" s="41"/>
      <c r="P3" s="45"/>
      <c r="Q3" s="43"/>
      <c r="R3" s="44"/>
      <c r="S3" s="41"/>
      <c r="T3" s="38"/>
      <c r="U3" s="38"/>
      <c r="V3" s="43"/>
      <c r="W3" s="42"/>
      <c r="X3" s="38"/>
      <c r="Y3" s="38"/>
      <c r="Z3" s="38"/>
      <c r="AA3" s="38"/>
      <c r="AB3" s="43"/>
    </row>
    <row r="4" spans="1:33" ht="39.9" customHeight="1" x14ac:dyDescent="0.3">
      <c r="F4" s="45"/>
      <c r="G4" s="43"/>
      <c r="H4" s="43"/>
      <c r="I4" s="46"/>
      <c r="J4" s="46"/>
      <c r="K4" s="41"/>
      <c r="L4" s="41"/>
      <c r="M4" s="41"/>
      <c r="N4" s="42"/>
      <c r="O4" s="41"/>
      <c r="P4" s="45"/>
      <c r="Q4" s="43"/>
      <c r="R4" s="44"/>
      <c r="S4" s="41"/>
      <c r="T4" s="38"/>
      <c r="U4" s="38"/>
      <c r="V4" s="43"/>
      <c r="W4" s="42"/>
      <c r="X4" s="38"/>
      <c r="Y4" s="38"/>
      <c r="Z4" s="38"/>
      <c r="AA4" s="38"/>
      <c r="AB4" s="43"/>
    </row>
    <row r="6" spans="1:33" ht="126" x14ac:dyDescent="0.3">
      <c r="A6" s="23" t="s">
        <v>8</v>
      </c>
      <c r="B6" s="23" t="s">
        <v>47</v>
      </c>
      <c r="C6" s="23" t="s">
        <v>33</v>
      </c>
      <c r="D6" s="23" t="s">
        <v>10</v>
      </c>
      <c r="E6" s="23" t="s">
        <v>11</v>
      </c>
      <c r="F6" s="23" t="s">
        <v>12</v>
      </c>
      <c r="G6" s="31" t="s">
        <v>13</v>
      </c>
      <c r="H6" s="31" t="s">
        <v>34</v>
      </c>
      <c r="I6" s="36" t="s">
        <v>16</v>
      </c>
      <c r="J6" s="36" t="s">
        <v>17</v>
      </c>
      <c r="K6" s="23" t="s">
        <v>14</v>
      </c>
      <c r="L6" s="23" t="s">
        <v>32</v>
      </c>
      <c r="M6" s="23" t="s">
        <v>15</v>
      </c>
      <c r="N6" s="30" t="s">
        <v>0</v>
      </c>
      <c r="O6" s="23" t="s">
        <v>46</v>
      </c>
      <c r="P6" s="23" t="s">
        <v>5</v>
      </c>
      <c r="Q6" s="31" t="s">
        <v>18</v>
      </c>
      <c r="R6" s="31" t="s">
        <v>22</v>
      </c>
      <c r="S6" s="23" t="s">
        <v>19</v>
      </c>
      <c r="T6" s="30" t="s">
        <v>37</v>
      </c>
      <c r="U6" s="30" t="s">
        <v>20</v>
      </c>
      <c r="V6" s="31" t="s">
        <v>23</v>
      </c>
      <c r="W6" s="30" t="s">
        <v>9</v>
      </c>
      <c r="X6" s="28" t="s">
        <v>40</v>
      </c>
      <c r="Y6" s="28" t="s">
        <v>103</v>
      </c>
      <c r="Z6" s="28" t="s">
        <v>104</v>
      </c>
      <c r="AA6" s="27" t="s">
        <v>41</v>
      </c>
      <c r="AB6" s="31" t="s">
        <v>43</v>
      </c>
      <c r="AC6" s="23" t="s">
        <v>42</v>
      </c>
      <c r="AD6" s="16"/>
      <c r="AE6" s="16"/>
      <c r="AF6" s="16"/>
      <c r="AG6" s="16"/>
    </row>
    <row r="7" spans="1:33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  <c r="X7" s="78" t="s">
        <v>132</v>
      </c>
      <c r="Y7" s="78" t="s">
        <v>133</v>
      </c>
      <c r="Z7" s="78" t="s">
        <v>134</v>
      </c>
      <c r="AA7" s="78" t="s">
        <v>135</v>
      </c>
      <c r="AB7" s="78" t="s">
        <v>136</v>
      </c>
      <c r="AC7" s="78" t="s">
        <v>138</v>
      </c>
      <c r="AD7" s="16"/>
      <c r="AE7" s="16"/>
      <c r="AF7" s="16"/>
      <c r="AG7" s="16"/>
    </row>
    <row r="8" spans="1:33" ht="162" hidden="1" x14ac:dyDescent="0.3">
      <c r="A8" s="26" t="s">
        <v>36</v>
      </c>
      <c r="B8" s="26"/>
      <c r="C8" s="26" t="s">
        <v>73</v>
      </c>
      <c r="D8" s="26" t="s">
        <v>74</v>
      </c>
      <c r="E8" s="26" t="s">
        <v>71</v>
      </c>
      <c r="F8" s="26" t="s">
        <v>72</v>
      </c>
      <c r="G8" s="24">
        <v>15500.01</v>
      </c>
      <c r="H8" s="24">
        <f t="shared" ref="H8" si="0">G8-Q8</f>
        <v>6725</v>
      </c>
      <c r="I8" s="37">
        <v>6</v>
      </c>
      <c r="J8" s="37">
        <v>0</v>
      </c>
      <c r="K8" s="26" t="s">
        <v>75</v>
      </c>
      <c r="L8" s="26" t="s">
        <v>76</v>
      </c>
      <c r="M8" s="26" t="s">
        <v>77</v>
      </c>
      <c r="N8" s="25">
        <v>43655</v>
      </c>
      <c r="O8" s="26" t="s">
        <v>79</v>
      </c>
      <c r="P8" s="140" t="s">
        <v>78</v>
      </c>
      <c r="Q8" s="24">
        <v>8775.01</v>
      </c>
      <c r="R8" s="24">
        <f>Q8-V8</f>
        <v>0</v>
      </c>
      <c r="S8" s="26" t="s">
        <v>80</v>
      </c>
      <c r="T8" s="25">
        <v>43677</v>
      </c>
      <c r="U8" s="25" t="s">
        <v>81</v>
      </c>
      <c r="V8" s="24">
        <v>8775.01</v>
      </c>
      <c r="W8" s="25">
        <v>43696</v>
      </c>
      <c r="X8" s="26"/>
      <c r="Y8" s="72"/>
      <c r="Z8" s="72"/>
      <c r="AA8" s="25"/>
      <c r="AB8" s="24"/>
      <c r="AC8" s="26" t="s">
        <v>64</v>
      </c>
    </row>
    <row r="9" spans="1:33" s="107" customFormat="1" ht="144" customHeight="1" x14ac:dyDescent="0.3">
      <c r="A9" s="730">
        <v>1</v>
      </c>
      <c r="B9" s="714" t="s">
        <v>56</v>
      </c>
      <c r="C9" s="714" t="s">
        <v>188</v>
      </c>
      <c r="D9" s="714" t="s">
        <v>147</v>
      </c>
      <c r="E9" s="714" t="s">
        <v>189</v>
      </c>
      <c r="F9" s="714" t="s">
        <v>190</v>
      </c>
      <c r="G9" s="722">
        <v>740465.76</v>
      </c>
      <c r="H9" s="720">
        <f>IF(AD9 = 1, G9 - Q9,0)</f>
        <v>348018.92</v>
      </c>
      <c r="I9" s="722">
        <v>5</v>
      </c>
      <c r="J9" s="722"/>
      <c r="K9" s="714" t="s">
        <v>163</v>
      </c>
      <c r="L9" s="714" t="s">
        <v>191</v>
      </c>
      <c r="M9" s="714" t="s">
        <v>189</v>
      </c>
      <c r="N9" s="716">
        <v>45286</v>
      </c>
      <c r="O9" s="1024">
        <v>2304067057</v>
      </c>
      <c r="P9" s="1027" t="s">
        <v>192</v>
      </c>
      <c r="Q9" s="722">
        <v>392446.84</v>
      </c>
      <c r="R9" s="720">
        <f>IF(AD9 = 1, Q9 + SUM(Y9:Y14) - SUM(Z9:Z14) - SUM(V9:V14) - AB9,0)</f>
        <v>5.8207660913467407E-11</v>
      </c>
      <c r="S9" s="714"/>
      <c r="T9" s="325">
        <v>45322</v>
      </c>
      <c r="U9" s="961" t="s">
        <v>165</v>
      </c>
      <c r="V9" s="310">
        <v>68347.48</v>
      </c>
      <c r="W9" s="325">
        <v>45324</v>
      </c>
      <c r="X9" s="312"/>
      <c r="Y9" s="310"/>
      <c r="Z9" s="310"/>
      <c r="AA9" s="961"/>
      <c r="AB9" s="722"/>
      <c r="AC9" s="714"/>
      <c r="AD9" s="107">
        <v>1</v>
      </c>
    </row>
    <row r="10" spans="1:33" s="2" customFormat="1" x14ac:dyDescent="0.3">
      <c r="A10" s="966"/>
      <c r="B10" s="958"/>
      <c r="C10" s="958"/>
      <c r="D10" s="958"/>
      <c r="E10" s="958"/>
      <c r="F10" s="958"/>
      <c r="G10" s="954"/>
      <c r="H10" s="965"/>
      <c r="I10" s="954"/>
      <c r="J10" s="954"/>
      <c r="K10" s="958"/>
      <c r="L10" s="958"/>
      <c r="M10" s="958"/>
      <c r="N10" s="960"/>
      <c r="O10" s="1025"/>
      <c r="P10" s="1028"/>
      <c r="Q10" s="954"/>
      <c r="R10" s="965"/>
      <c r="S10" s="958"/>
      <c r="T10" s="326">
        <v>45351</v>
      </c>
      <c r="U10" s="962"/>
      <c r="V10" s="313">
        <v>63937.97</v>
      </c>
      <c r="W10" s="326">
        <v>45357</v>
      </c>
      <c r="X10" s="315"/>
      <c r="Y10" s="313"/>
      <c r="Z10" s="313"/>
      <c r="AA10" s="962"/>
      <c r="AB10" s="954"/>
      <c r="AC10" s="958"/>
      <c r="AD10" s="2">
        <v>1</v>
      </c>
    </row>
    <row r="11" spans="1:33" s="2" customFormat="1" x14ac:dyDescent="0.3">
      <c r="A11" s="966"/>
      <c r="B11" s="958"/>
      <c r="C11" s="958"/>
      <c r="D11" s="958"/>
      <c r="E11" s="958"/>
      <c r="F11" s="958"/>
      <c r="G11" s="954"/>
      <c r="H11" s="965"/>
      <c r="I11" s="954"/>
      <c r="J11" s="954"/>
      <c r="K11" s="958"/>
      <c r="L11" s="958"/>
      <c r="M11" s="958"/>
      <c r="N11" s="960"/>
      <c r="O11" s="1025"/>
      <c r="P11" s="1028"/>
      <c r="Q11" s="954"/>
      <c r="R11" s="965"/>
      <c r="S11" s="958"/>
      <c r="T11" s="326">
        <v>45384</v>
      </c>
      <c r="U11" s="962"/>
      <c r="V11" s="313">
        <v>68347.48</v>
      </c>
      <c r="W11" s="326">
        <v>45385</v>
      </c>
      <c r="X11" s="315"/>
      <c r="Y11" s="313"/>
      <c r="Z11" s="313"/>
      <c r="AA11" s="962"/>
      <c r="AB11" s="954"/>
      <c r="AC11" s="958"/>
      <c r="AD11" s="2">
        <v>1</v>
      </c>
    </row>
    <row r="12" spans="1:33" s="2" customFormat="1" x14ac:dyDescent="0.3">
      <c r="A12" s="966"/>
      <c r="B12" s="958"/>
      <c r="C12" s="958"/>
      <c r="D12" s="958"/>
      <c r="E12" s="958"/>
      <c r="F12" s="958"/>
      <c r="G12" s="954"/>
      <c r="H12" s="965"/>
      <c r="I12" s="954"/>
      <c r="J12" s="954"/>
      <c r="K12" s="958"/>
      <c r="L12" s="958"/>
      <c r="M12" s="958"/>
      <c r="N12" s="960"/>
      <c r="O12" s="1025"/>
      <c r="P12" s="1028"/>
      <c r="Q12" s="954"/>
      <c r="R12" s="965"/>
      <c r="S12" s="958"/>
      <c r="T12" s="326">
        <v>45413</v>
      </c>
      <c r="U12" s="962"/>
      <c r="V12" s="313">
        <v>66142.73</v>
      </c>
      <c r="W12" s="326">
        <v>45419</v>
      </c>
      <c r="X12" s="315"/>
      <c r="Y12" s="313"/>
      <c r="Z12" s="313"/>
      <c r="AA12" s="962"/>
      <c r="AB12" s="954"/>
      <c r="AC12" s="958"/>
      <c r="AD12" s="2">
        <v>1</v>
      </c>
    </row>
    <row r="13" spans="1:33" s="2" customFormat="1" x14ac:dyDescent="0.3">
      <c r="A13" s="966"/>
      <c r="B13" s="958"/>
      <c r="C13" s="958"/>
      <c r="D13" s="958"/>
      <c r="E13" s="958"/>
      <c r="F13" s="958"/>
      <c r="G13" s="954"/>
      <c r="H13" s="965"/>
      <c r="I13" s="954"/>
      <c r="J13" s="954"/>
      <c r="K13" s="958"/>
      <c r="L13" s="958"/>
      <c r="M13" s="958"/>
      <c r="N13" s="960"/>
      <c r="O13" s="1025"/>
      <c r="P13" s="1028"/>
      <c r="Q13" s="954"/>
      <c r="R13" s="965"/>
      <c r="S13" s="958"/>
      <c r="T13" s="326">
        <v>45445</v>
      </c>
      <c r="U13" s="962"/>
      <c r="V13" s="313">
        <v>68347.48</v>
      </c>
      <c r="W13" s="326">
        <v>45448</v>
      </c>
      <c r="X13" s="315"/>
      <c r="Y13" s="313"/>
      <c r="Z13" s="313"/>
      <c r="AA13" s="962"/>
      <c r="AB13" s="954"/>
      <c r="AC13" s="958"/>
      <c r="AD13" s="2">
        <v>1</v>
      </c>
    </row>
    <row r="14" spans="1:33" s="2" customFormat="1" x14ac:dyDescent="0.3">
      <c r="A14" s="731"/>
      <c r="B14" s="715"/>
      <c r="C14" s="715"/>
      <c r="D14" s="715"/>
      <c r="E14" s="715"/>
      <c r="F14" s="715"/>
      <c r="G14" s="723"/>
      <c r="H14" s="721"/>
      <c r="I14" s="723"/>
      <c r="J14" s="723"/>
      <c r="K14" s="715"/>
      <c r="L14" s="715"/>
      <c r="M14" s="715"/>
      <c r="N14" s="717"/>
      <c r="O14" s="1026"/>
      <c r="P14" s="1029"/>
      <c r="Q14" s="723"/>
      <c r="R14" s="721"/>
      <c r="S14" s="715"/>
      <c r="T14" s="327">
        <v>45476</v>
      </c>
      <c r="U14" s="963"/>
      <c r="V14" s="320">
        <v>57323.7</v>
      </c>
      <c r="W14" s="327">
        <v>45476</v>
      </c>
      <c r="X14" s="322"/>
      <c r="Y14" s="320"/>
      <c r="Z14" s="320"/>
      <c r="AA14" s="963"/>
      <c r="AB14" s="723"/>
      <c r="AC14" s="715"/>
      <c r="AD14" s="2">
        <v>1</v>
      </c>
    </row>
    <row r="15" spans="1:33" s="107" customFormat="1" ht="144" customHeight="1" x14ac:dyDescent="0.3">
      <c r="A15" s="1018">
        <v>2</v>
      </c>
      <c r="B15" s="1000" t="s">
        <v>56</v>
      </c>
      <c r="C15" s="1000" t="s">
        <v>313</v>
      </c>
      <c r="D15" s="1000" t="s">
        <v>147</v>
      </c>
      <c r="E15" s="1000" t="s">
        <v>311</v>
      </c>
      <c r="F15" s="1000" t="s">
        <v>190</v>
      </c>
      <c r="G15" s="997">
        <v>349440</v>
      </c>
      <c r="H15" s="1006">
        <f>IF(AD15 = 2, G15 - Q15,0)</f>
        <v>129292.79999999999</v>
      </c>
      <c r="I15" s="997">
        <v>5</v>
      </c>
      <c r="J15" s="997"/>
      <c r="K15" s="1000" t="s">
        <v>146</v>
      </c>
      <c r="L15" s="1000" t="s">
        <v>312</v>
      </c>
      <c r="M15" s="1000" t="s">
        <v>314</v>
      </c>
      <c r="N15" s="1009">
        <v>45470</v>
      </c>
      <c r="O15" s="1012">
        <v>2304067057</v>
      </c>
      <c r="P15" s="1015" t="s">
        <v>192</v>
      </c>
      <c r="Q15" s="997">
        <v>220147.20000000001</v>
      </c>
      <c r="R15" s="1006">
        <f>IF(AD15 = 2, Q15 + SUM(Y15:Y18) - SUM(Z15:Z18) - SUM(V15:V18) - AB15,0)</f>
        <v>0</v>
      </c>
      <c r="S15" s="1000"/>
      <c r="T15" s="487">
        <v>45475</v>
      </c>
      <c r="U15" s="1021" t="s">
        <v>165</v>
      </c>
      <c r="V15" s="483">
        <v>9676.7999999999993</v>
      </c>
      <c r="W15" s="487">
        <v>45481</v>
      </c>
      <c r="X15" s="484"/>
      <c r="Y15" s="483"/>
      <c r="Z15" s="483"/>
      <c r="AA15" s="1021"/>
      <c r="AB15" s="997"/>
      <c r="AC15" s="1003"/>
      <c r="AD15" s="107">
        <v>2</v>
      </c>
    </row>
    <row r="16" spans="1:33" s="2" customFormat="1" x14ac:dyDescent="0.3">
      <c r="A16" s="1019"/>
      <c r="B16" s="1001"/>
      <c r="C16" s="1001"/>
      <c r="D16" s="1001"/>
      <c r="E16" s="1001"/>
      <c r="F16" s="1001"/>
      <c r="G16" s="998"/>
      <c r="H16" s="1007"/>
      <c r="I16" s="998"/>
      <c r="J16" s="998"/>
      <c r="K16" s="1001"/>
      <c r="L16" s="1001"/>
      <c r="M16" s="1001"/>
      <c r="N16" s="1010"/>
      <c r="O16" s="1013"/>
      <c r="P16" s="1016"/>
      <c r="Q16" s="998"/>
      <c r="R16" s="1007"/>
      <c r="S16" s="1001"/>
      <c r="T16" s="491">
        <v>45505</v>
      </c>
      <c r="U16" s="1022"/>
      <c r="V16" s="489">
        <v>74995.199999999997</v>
      </c>
      <c r="W16" s="491">
        <v>45512</v>
      </c>
      <c r="X16" s="490"/>
      <c r="Y16" s="489"/>
      <c r="Z16" s="489"/>
      <c r="AA16" s="1022"/>
      <c r="AB16" s="998"/>
      <c r="AC16" s="1004"/>
      <c r="AD16" s="2">
        <v>2</v>
      </c>
    </row>
    <row r="17" spans="1:30" s="2" customFormat="1" x14ac:dyDescent="0.3">
      <c r="A17" s="1019"/>
      <c r="B17" s="1001"/>
      <c r="C17" s="1001"/>
      <c r="D17" s="1001"/>
      <c r="E17" s="1001"/>
      <c r="F17" s="1001"/>
      <c r="G17" s="998"/>
      <c r="H17" s="1007"/>
      <c r="I17" s="998"/>
      <c r="J17" s="998"/>
      <c r="K17" s="1001"/>
      <c r="L17" s="1001"/>
      <c r="M17" s="1001"/>
      <c r="N17" s="1010"/>
      <c r="O17" s="1013"/>
      <c r="P17" s="1016"/>
      <c r="Q17" s="998"/>
      <c r="R17" s="1007"/>
      <c r="S17" s="1001"/>
      <c r="T17" s="491">
        <v>45536</v>
      </c>
      <c r="U17" s="1022"/>
      <c r="V17" s="489">
        <v>74995.199999999997</v>
      </c>
      <c r="W17" s="491">
        <v>45540</v>
      </c>
      <c r="X17" s="490"/>
      <c r="Y17" s="489"/>
      <c r="Z17" s="489"/>
      <c r="AA17" s="1022"/>
      <c r="AB17" s="998"/>
      <c r="AC17" s="1004"/>
      <c r="AD17" s="2">
        <v>2</v>
      </c>
    </row>
    <row r="18" spans="1:30" s="2" customFormat="1" x14ac:dyDescent="0.3">
      <c r="A18" s="1020"/>
      <c r="B18" s="1002"/>
      <c r="C18" s="1002"/>
      <c r="D18" s="1002"/>
      <c r="E18" s="1002"/>
      <c r="F18" s="1002"/>
      <c r="G18" s="999"/>
      <c r="H18" s="1008"/>
      <c r="I18" s="999"/>
      <c r="J18" s="999"/>
      <c r="K18" s="1002"/>
      <c r="L18" s="1002"/>
      <c r="M18" s="1002"/>
      <c r="N18" s="1011"/>
      <c r="O18" s="1014"/>
      <c r="P18" s="1017"/>
      <c r="Q18" s="999"/>
      <c r="R18" s="1008"/>
      <c r="S18" s="1002"/>
      <c r="T18" s="488">
        <v>45561</v>
      </c>
      <c r="U18" s="1023"/>
      <c r="V18" s="485">
        <v>60480</v>
      </c>
      <c r="W18" s="488">
        <v>45569</v>
      </c>
      <c r="X18" s="486"/>
      <c r="Y18" s="485"/>
      <c r="Z18" s="485"/>
      <c r="AA18" s="1023"/>
      <c r="AB18" s="999"/>
      <c r="AC18" s="1005"/>
      <c r="AD18" s="2">
        <v>2</v>
      </c>
    </row>
    <row r="19" spans="1:30" s="107" customFormat="1" ht="180" customHeight="1" x14ac:dyDescent="0.3">
      <c r="A19" s="1030">
        <v>3</v>
      </c>
      <c r="B19" s="1036" t="s">
        <v>56</v>
      </c>
      <c r="C19" s="1036" t="s">
        <v>316</v>
      </c>
      <c r="D19" s="1036" t="s">
        <v>147</v>
      </c>
      <c r="E19" s="1036" t="s">
        <v>315</v>
      </c>
      <c r="F19" s="1036" t="s">
        <v>317</v>
      </c>
      <c r="G19" s="1039">
        <v>1109683.8</v>
      </c>
      <c r="H19" s="1045">
        <f>IF(AD19 = 3, G19 - Q19,0)</f>
        <v>0</v>
      </c>
      <c r="I19" s="1039">
        <v>3</v>
      </c>
      <c r="J19" s="1039"/>
      <c r="K19" s="1036" t="s">
        <v>163</v>
      </c>
      <c r="L19" s="1036" t="s">
        <v>318</v>
      </c>
      <c r="M19" s="1036" t="s">
        <v>315</v>
      </c>
      <c r="N19" s="1048">
        <v>45473</v>
      </c>
      <c r="O19" s="1051">
        <v>2353020735</v>
      </c>
      <c r="P19" s="1054" t="s">
        <v>319</v>
      </c>
      <c r="Q19" s="1039">
        <v>1109683.8</v>
      </c>
      <c r="R19" s="1045">
        <f>IF(AD19 = 3, Q19 + SUM(Y19:Y36) - SUM(Z19:Z36) - SUM(V19:V36) - AB19,0)</f>
        <v>0</v>
      </c>
      <c r="S19" s="1036"/>
      <c r="T19" s="532">
        <v>45553</v>
      </c>
      <c r="U19" s="1033" t="s">
        <v>165</v>
      </c>
      <c r="V19" s="526">
        <v>54338.33</v>
      </c>
      <c r="W19" s="532">
        <v>45560</v>
      </c>
      <c r="X19" s="527"/>
      <c r="Y19" s="526"/>
      <c r="Z19" s="526"/>
      <c r="AA19" s="1033" t="s">
        <v>439</v>
      </c>
      <c r="AB19" s="1039">
        <v>696582.51</v>
      </c>
      <c r="AC19" s="1042"/>
      <c r="AD19" s="107">
        <v>3</v>
      </c>
    </row>
    <row r="20" spans="1:30" s="2" customFormat="1" x14ac:dyDescent="0.3">
      <c r="A20" s="1031"/>
      <c r="B20" s="1037"/>
      <c r="C20" s="1037"/>
      <c r="D20" s="1037"/>
      <c r="E20" s="1037"/>
      <c r="F20" s="1037"/>
      <c r="G20" s="1040"/>
      <c r="H20" s="1046"/>
      <c r="I20" s="1040"/>
      <c r="J20" s="1040"/>
      <c r="K20" s="1037"/>
      <c r="L20" s="1037"/>
      <c r="M20" s="1037"/>
      <c r="N20" s="1049"/>
      <c r="O20" s="1052"/>
      <c r="P20" s="1055"/>
      <c r="Q20" s="1040"/>
      <c r="R20" s="1046"/>
      <c r="S20" s="1037"/>
      <c r="T20" s="533">
        <v>45553</v>
      </c>
      <c r="U20" s="1034"/>
      <c r="V20" s="528">
        <v>3468.2</v>
      </c>
      <c r="W20" s="533">
        <v>45560</v>
      </c>
      <c r="X20" s="529"/>
      <c r="Y20" s="528"/>
      <c r="Z20" s="528"/>
      <c r="AA20" s="1034"/>
      <c r="AB20" s="1040"/>
      <c r="AC20" s="1043"/>
      <c r="AD20" s="2">
        <v>3</v>
      </c>
    </row>
    <row r="21" spans="1:30" s="2" customFormat="1" x14ac:dyDescent="0.3">
      <c r="A21" s="1031"/>
      <c r="B21" s="1037"/>
      <c r="C21" s="1037"/>
      <c r="D21" s="1037"/>
      <c r="E21" s="1037"/>
      <c r="F21" s="1037"/>
      <c r="G21" s="1040"/>
      <c r="H21" s="1046"/>
      <c r="I21" s="1040"/>
      <c r="J21" s="1040"/>
      <c r="K21" s="1037"/>
      <c r="L21" s="1037"/>
      <c r="M21" s="1037"/>
      <c r="N21" s="1049"/>
      <c r="O21" s="1052"/>
      <c r="P21" s="1055"/>
      <c r="Q21" s="1040"/>
      <c r="R21" s="1046"/>
      <c r="S21" s="1037"/>
      <c r="T21" s="533">
        <v>45553</v>
      </c>
      <c r="U21" s="1034"/>
      <c r="V21" s="528">
        <v>17517.13</v>
      </c>
      <c r="W21" s="533">
        <v>45560</v>
      </c>
      <c r="X21" s="529"/>
      <c r="Y21" s="528"/>
      <c r="Z21" s="528"/>
      <c r="AA21" s="1034"/>
      <c r="AB21" s="1040"/>
      <c r="AC21" s="1043"/>
      <c r="AD21" s="2">
        <v>3</v>
      </c>
    </row>
    <row r="22" spans="1:30" s="2" customFormat="1" x14ac:dyDescent="0.3">
      <c r="A22" s="1031"/>
      <c r="B22" s="1037"/>
      <c r="C22" s="1037"/>
      <c r="D22" s="1037"/>
      <c r="E22" s="1037"/>
      <c r="F22" s="1037"/>
      <c r="G22" s="1040"/>
      <c r="H22" s="1046"/>
      <c r="I22" s="1040"/>
      <c r="J22" s="1040"/>
      <c r="K22" s="1037"/>
      <c r="L22" s="1037"/>
      <c r="M22" s="1037"/>
      <c r="N22" s="1049"/>
      <c r="O22" s="1052"/>
      <c r="P22" s="1055"/>
      <c r="Q22" s="1040"/>
      <c r="R22" s="1046"/>
      <c r="S22" s="1037"/>
      <c r="T22" s="533">
        <v>45566</v>
      </c>
      <c r="U22" s="1034"/>
      <c r="V22" s="528">
        <v>51070.66</v>
      </c>
      <c r="W22" s="533">
        <v>45573</v>
      </c>
      <c r="X22" s="529"/>
      <c r="Y22" s="528"/>
      <c r="Z22" s="528"/>
      <c r="AA22" s="1034"/>
      <c r="AB22" s="1040"/>
      <c r="AC22" s="1043"/>
      <c r="AD22" s="2">
        <v>3</v>
      </c>
    </row>
    <row r="23" spans="1:30" s="2" customFormat="1" x14ac:dyDescent="0.3">
      <c r="A23" s="1031"/>
      <c r="B23" s="1037"/>
      <c r="C23" s="1037"/>
      <c r="D23" s="1037"/>
      <c r="E23" s="1037"/>
      <c r="F23" s="1037"/>
      <c r="G23" s="1040"/>
      <c r="H23" s="1046"/>
      <c r="I23" s="1040"/>
      <c r="J23" s="1040"/>
      <c r="K23" s="1037"/>
      <c r="L23" s="1037"/>
      <c r="M23" s="1037"/>
      <c r="N23" s="1049"/>
      <c r="O23" s="1052"/>
      <c r="P23" s="1055"/>
      <c r="Q23" s="1040"/>
      <c r="R23" s="1046"/>
      <c r="S23" s="1037"/>
      <c r="T23" s="533">
        <v>45566</v>
      </c>
      <c r="U23" s="1034"/>
      <c r="V23" s="528">
        <v>3259.86</v>
      </c>
      <c r="W23" s="533">
        <v>45573</v>
      </c>
      <c r="X23" s="529"/>
      <c r="Y23" s="528"/>
      <c r="Z23" s="528"/>
      <c r="AA23" s="1034"/>
      <c r="AB23" s="1040"/>
      <c r="AC23" s="1043"/>
      <c r="AD23" s="2">
        <v>3</v>
      </c>
    </row>
    <row r="24" spans="1:30" s="2" customFormat="1" x14ac:dyDescent="0.3">
      <c r="A24" s="1031"/>
      <c r="B24" s="1037"/>
      <c r="C24" s="1037"/>
      <c r="D24" s="1037"/>
      <c r="E24" s="1037"/>
      <c r="F24" s="1037"/>
      <c r="G24" s="1040"/>
      <c r="H24" s="1046"/>
      <c r="I24" s="1040"/>
      <c r="J24" s="1040"/>
      <c r="K24" s="1037"/>
      <c r="L24" s="1037"/>
      <c r="M24" s="1037"/>
      <c r="N24" s="1049"/>
      <c r="O24" s="1052"/>
      <c r="P24" s="1055"/>
      <c r="Q24" s="1040"/>
      <c r="R24" s="1046"/>
      <c r="S24" s="1037"/>
      <c r="T24" s="533">
        <v>45566</v>
      </c>
      <c r="U24" s="1034"/>
      <c r="V24" s="528">
        <v>16463.8</v>
      </c>
      <c r="W24" s="533">
        <v>45573</v>
      </c>
      <c r="X24" s="529"/>
      <c r="Y24" s="528"/>
      <c r="Z24" s="528"/>
      <c r="AA24" s="1034"/>
      <c r="AB24" s="1040"/>
      <c r="AC24" s="1043"/>
      <c r="AD24" s="2">
        <v>3</v>
      </c>
    </row>
    <row r="25" spans="1:30" s="2" customFormat="1" x14ac:dyDescent="0.3">
      <c r="A25" s="1031"/>
      <c r="B25" s="1037"/>
      <c r="C25" s="1037"/>
      <c r="D25" s="1037"/>
      <c r="E25" s="1037"/>
      <c r="F25" s="1037"/>
      <c r="G25" s="1040"/>
      <c r="H25" s="1046"/>
      <c r="I25" s="1040"/>
      <c r="J25" s="1040"/>
      <c r="K25" s="1037"/>
      <c r="L25" s="1037"/>
      <c r="M25" s="1037"/>
      <c r="N25" s="1049"/>
      <c r="O25" s="1052"/>
      <c r="P25" s="1055"/>
      <c r="Q25" s="1040"/>
      <c r="R25" s="1046"/>
      <c r="S25" s="1037"/>
      <c r="T25" s="533">
        <v>45580</v>
      </c>
      <c r="U25" s="1034"/>
      <c r="V25" s="528">
        <v>50399.27</v>
      </c>
      <c r="W25" s="533">
        <v>45593</v>
      </c>
      <c r="X25" s="529"/>
      <c r="Y25" s="528"/>
      <c r="Z25" s="528"/>
      <c r="AA25" s="1034"/>
      <c r="AB25" s="1040"/>
      <c r="AC25" s="1043"/>
      <c r="AD25" s="2">
        <v>3</v>
      </c>
    </row>
    <row r="26" spans="1:30" s="2" customFormat="1" x14ac:dyDescent="0.3">
      <c r="A26" s="1031"/>
      <c r="B26" s="1037"/>
      <c r="C26" s="1037"/>
      <c r="D26" s="1037"/>
      <c r="E26" s="1037"/>
      <c r="F26" s="1037"/>
      <c r="G26" s="1040"/>
      <c r="H26" s="1046"/>
      <c r="I26" s="1040"/>
      <c r="J26" s="1040"/>
      <c r="K26" s="1037"/>
      <c r="L26" s="1037"/>
      <c r="M26" s="1037"/>
      <c r="N26" s="1049"/>
      <c r="O26" s="1052"/>
      <c r="P26" s="1055"/>
      <c r="Q26" s="1040"/>
      <c r="R26" s="1046"/>
      <c r="S26" s="1037"/>
      <c r="T26" s="533">
        <v>45580</v>
      </c>
      <c r="U26" s="1034"/>
      <c r="V26" s="528">
        <v>3217</v>
      </c>
      <c r="W26" s="533">
        <v>45593</v>
      </c>
      <c r="X26" s="529"/>
      <c r="Y26" s="528"/>
      <c r="Z26" s="528"/>
      <c r="AA26" s="1034"/>
      <c r="AB26" s="1040"/>
      <c r="AC26" s="1043"/>
      <c r="AD26" s="2">
        <v>3</v>
      </c>
    </row>
    <row r="27" spans="1:30" s="2" customFormat="1" x14ac:dyDescent="0.3">
      <c r="A27" s="1031"/>
      <c r="B27" s="1037"/>
      <c r="C27" s="1037"/>
      <c r="D27" s="1037"/>
      <c r="E27" s="1037"/>
      <c r="F27" s="1037"/>
      <c r="G27" s="1040"/>
      <c r="H27" s="1046"/>
      <c r="I27" s="1040"/>
      <c r="J27" s="1040"/>
      <c r="K27" s="1037"/>
      <c r="L27" s="1037"/>
      <c r="M27" s="1037"/>
      <c r="N27" s="1049"/>
      <c r="O27" s="1052"/>
      <c r="P27" s="1055"/>
      <c r="Q27" s="1040"/>
      <c r="R27" s="1046"/>
      <c r="S27" s="1037"/>
      <c r="T27" s="533">
        <v>45580</v>
      </c>
      <c r="U27" s="1034"/>
      <c r="V27" s="528">
        <v>16247.36</v>
      </c>
      <c r="W27" s="533">
        <v>45593</v>
      </c>
      <c r="X27" s="529"/>
      <c r="Y27" s="528"/>
      <c r="Z27" s="528"/>
      <c r="AA27" s="1034"/>
      <c r="AB27" s="1040"/>
      <c r="AC27" s="1043"/>
      <c r="AD27" s="2">
        <v>3</v>
      </c>
    </row>
    <row r="28" spans="1:30" s="2" customFormat="1" x14ac:dyDescent="0.3">
      <c r="A28" s="1031"/>
      <c r="B28" s="1037"/>
      <c r="C28" s="1037"/>
      <c r="D28" s="1037"/>
      <c r="E28" s="1037"/>
      <c r="F28" s="1037"/>
      <c r="G28" s="1040"/>
      <c r="H28" s="1046"/>
      <c r="I28" s="1040"/>
      <c r="J28" s="1040"/>
      <c r="K28" s="1037"/>
      <c r="L28" s="1037"/>
      <c r="M28" s="1037"/>
      <c r="N28" s="1049"/>
      <c r="O28" s="1052"/>
      <c r="P28" s="1055"/>
      <c r="Q28" s="1040"/>
      <c r="R28" s="1046"/>
      <c r="S28" s="1037"/>
      <c r="T28" s="533">
        <v>45596</v>
      </c>
      <c r="U28" s="1034"/>
      <c r="V28" s="528">
        <v>50354.51</v>
      </c>
      <c r="W28" s="533">
        <v>45602</v>
      </c>
      <c r="X28" s="529"/>
      <c r="Y28" s="528"/>
      <c r="Z28" s="528"/>
      <c r="AA28" s="1034"/>
      <c r="AB28" s="1040"/>
      <c r="AC28" s="1043"/>
      <c r="AD28" s="2">
        <v>3</v>
      </c>
    </row>
    <row r="29" spans="1:30" s="2" customFormat="1" x14ac:dyDescent="0.3">
      <c r="A29" s="1031"/>
      <c r="B29" s="1037"/>
      <c r="C29" s="1037"/>
      <c r="D29" s="1037"/>
      <c r="E29" s="1037"/>
      <c r="F29" s="1037"/>
      <c r="G29" s="1040"/>
      <c r="H29" s="1046"/>
      <c r="I29" s="1040"/>
      <c r="J29" s="1040"/>
      <c r="K29" s="1037"/>
      <c r="L29" s="1037"/>
      <c r="M29" s="1037"/>
      <c r="N29" s="1049"/>
      <c r="O29" s="1052"/>
      <c r="P29" s="1055"/>
      <c r="Q29" s="1040"/>
      <c r="R29" s="1046"/>
      <c r="S29" s="1037"/>
      <c r="T29" s="533">
        <v>45596</v>
      </c>
      <c r="U29" s="1034"/>
      <c r="V29" s="528">
        <v>3214.15</v>
      </c>
      <c r="W29" s="533">
        <v>45602</v>
      </c>
      <c r="X29" s="529"/>
      <c r="Y29" s="528"/>
      <c r="Z29" s="528"/>
      <c r="AA29" s="1034"/>
      <c r="AB29" s="1040"/>
      <c r="AC29" s="1043"/>
      <c r="AD29" s="2">
        <v>3</v>
      </c>
    </row>
    <row r="30" spans="1:30" s="2" customFormat="1" x14ac:dyDescent="0.3">
      <c r="A30" s="1031"/>
      <c r="B30" s="1037"/>
      <c r="C30" s="1037"/>
      <c r="D30" s="1037"/>
      <c r="E30" s="1037"/>
      <c r="F30" s="1037"/>
      <c r="G30" s="1040"/>
      <c r="H30" s="1046"/>
      <c r="I30" s="1040"/>
      <c r="J30" s="1040"/>
      <c r="K30" s="1037"/>
      <c r="L30" s="1037"/>
      <c r="M30" s="1037"/>
      <c r="N30" s="1049"/>
      <c r="O30" s="1052"/>
      <c r="P30" s="1055"/>
      <c r="Q30" s="1040"/>
      <c r="R30" s="1046"/>
      <c r="S30" s="1037"/>
      <c r="T30" s="533">
        <v>45596</v>
      </c>
      <c r="U30" s="1034"/>
      <c r="V30" s="528">
        <v>16232.93</v>
      </c>
      <c r="W30" s="533">
        <v>45602</v>
      </c>
      <c r="X30" s="529"/>
      <c r="Y30" s="528"/>
      <c r="Z30" s="528"/>
      <c r="AA30" s="1034"/>
      <c r="AB30" s="1040"/>
      <c r="AC30" s="1043"/>
      <c r="AD30" s="2">
        <v>3</v>
      </c>
    </row>
    <row r="31" spans="1:30" s="2" customFormat="1" x14ac:dyDescent="0.3">
      <c r="A31" s="1031"/>
      <c r="B31" s="1037"/>
      <c r="C31" s="1037"/>
      <c r="D31" s="1037"/>
      <c r="E31" s="1037"/>
      <c r="F31" s="1037"/>
      <c r="G31" s="1040"/>
      <c r="H31" s="1046"/>
      <c r="I31" s="1040"/>
      <c r="J31" s="1040"/>
      <c r="K31" s="1037"/>
      <c r="L31" s="1037"/>
      <c r="M31" s="1037"/>
      <c r="N31" s="1049"/>
      <c r="O31" s="1052"/>
      <c r="P31" s="1055"/>
      <c r="Q31" s="1040"/>
      <c r="R31" s="1046"/>
      <c r="S31" s="1037"/>
      <c r="T31" s="533">
        <v>45616</v>
      </c>
      <c r="U31" s="1034"/>
      <c r="V31" s="528">
        <v>45341.43</v>
      </c>
      <c r="W31" s="533">
        <v>45617</v>
      </c>
      <c r="X31" s="529"/>
      <c r="Y31" s="528"/>
      <c r="Z31" s="528"/>
      <c r="AA31" s="1034"/>
      <c r="AB31" s="1040"/>
      <c r="AC31" s="1043"/>
      <c r="AD31" s="2">
        <v>3</v>
      </c>
    </row>
    <row r="32" spans="1:30" s="2" customFormat="1" x14ac:dyDescent="0.3">
      <c r="A32" s="1031"/>
      <c r="B32" s="1037"/>
      <c r="C32" s="1037"/>
      <c r="D32" s="1037"/>
      <c r="E32" s="1037"/>
      <c r="F32" s="1037"/>
      <c r="G32" s="1040"/>
      <c r="H32" s="1046"/>
      <c r="I32" s="1040"/>
      <c r="J32" s="1040"/>
      <c r="K32" s="1037"/>
      <c r="L32" s="1037"/>
      <c r="M32" s="1037"/>
      <c r="N32" s="1049"/>
      <c r="O32" s="1052"/>
      <c r="P32" s="1055"/>
      <c r="Q32" s="1040"/>
      <c r="R32" s="1046"/>
      <c r="S32" s="1037"/>
      <c r="T32" s="533">
        <v>45616</v>
      </c>
      <c r="U32" s="1034"/>
      <c r="V32" s="528">
        <v>2894.17</v>
      </c>
      <c r="W32" s="533">
        <v>45617</v>
      </c>
      <c r="X32" s="529"/>
      <c r="Y32" s="528"/>
      <c r="Z32" s="528"/>
      <c r="AA32" s="1034"/>
      <c r="AB32" s="1040"/>
      <c r="AC32" s="1043"/>
      <c r="AD32" s="2">
        <v>3</v>
      </c>
    </row>
    <row r="33" spans="1:30" s="2" customFormat="1" x14ac:dyDescent="0.3">
      <c r="A33" s="1031"/>
      <c r="B33" s="1037"/>
      <c r="C33" s="1037"/>
      <c r="D33" s="1037"/>
      <c r="E33" s="1037"/>
      <c r="F33" s="1037"/>
      <c r="G33" s="1040"/>
      <c r="H33" s="1046"/>
      <c r="I33" s="1040"/>
      <c r="J33" s="1040"/>
      <c r="K33" s="1037"/>
      <c r="L33" s="1037"/>
      <c r="M33" s="1037"/>
      <c r="N33" s="1049"/>
      <c r="O33" s="1052"/>
      <c r="P33" s="1055"/>
      <c r="Q33" s="1040"/>
      <c r="R33" s="1046"/>
      <c r="S33" s="1037"/>
      <c r="T33" s="533">
        <v>45616</v>
      </c>
      <c r="U33" s="1034"/>
      <c r="V33" s="528">
        <v>14616.85</v>
      </c>
      <c r="W33" s="533">
        <v>45617</v>
      </c>
      <c r="X33" s="529"/>
      <c r="Y33" s="528"/>
      <c r="Z33" s="528"/>
      <c r="AA33" s="1034"/>
      <c r="AB33" s="1040"/>
      <c r="AC33" s="1043"/>
      <c r="AD33" s="2">
        <v>3</v>
      </c>
    </row>
    <row r="34" spans="1:30" s="2" customFormat="1" x14ac:dyDescent="0.3">
      <c r="A34" s="1031"/>
      <c r="B34" s="1037"/>
      <c r="C34" s="1037"/>
      <c r="D34" s="1037"/>
      <c r="E34" s="1037"/>
      <c r="F34" s="1037"/>
      <c r="G34" s="1040"/>
      <c r="H34" s="1046"/>
      <c r="I34" s="1040"/>
      <c r="J34" s="1040"/>
      <c r="K34" s="1037"/>
      <c r="L34" s="1037"/>
      <c r="M34" s="1037"/>
      <c r="N34" s="1049"/>
      <c r="O34" s="1052"/>
      <c r="P34" s="1055"/>
      <c r="Q34" s="1040"/>
      <c r="R34" s="1046"/>
      <c r="S34" s="1037"/>
      <c r="T34" s="533">
        <v>45628</v>
      </c>
      <c r="U34" s="1034"/>
      <c r="V34" s="528">
        <v>46505.18</v>
      </c>
      <c r="W34" s="533">
        <v>45635</v>
      </c>
      <c r="X34" s="529"/>
      <c r="Y34" s="528"/>
      <c r="Z34" s="528"/>
      <c r="AA34" s="1034"/>
      <c r="AB34" s="1040"/>
      <c r="AC34" s="1043"/>
      <c r="AD34" s="2">
        <v>3</v>
      </c>
    </row>
    <row r="35" spans="1:30" s="2" customFormat="1" x14ac:dyDescent="0.3">
      <c r="A35" s="1031"/>
      <c r="B35" s="1037"/>
      <c r="C35" s="1037"/>
      <c r="D35" s="1037"/>
      <c r="E35" s="1037"/>
      <c r="F35" s="1037"/>
      <c r="G35" s="1040"/>
      <c r="H35" s="1046"/>
      <c r="I35" s="1040"/>
      <c r="J35" s="1040"/>
      <c r="K35" s="1037"/>
      <c r="L35" s="1037"/>
      <c r="M35" s="1037"/>
      <c r="N35" s="1049"/>
      <c r="O35" s="1052"/>
      <c r="P35" s="1055"/>
      <c r="Q35" s="1040"/>
      <c r="R35" s="1046"/>
      <c r="S35" s="1037"/>
      <c r="T35" s="533">
        <v>45628</v>
      </c>
      <c r="U35" s="1034"/>
      <c r="V35" s="528">
        <v>2968.45</v>
      </c>
      <c r="W35" s="533">
        <v>45635</v>
      </c>
      <c r="X35" s="529"/>
      <c r="Y35" s="528"/>
      <c r="Z35" s="528"/>
      <c r="AA35" s="1034"/>
      <c r="AB35" s="1040"/>
      <c r="AC35" s="1043"/>
      <c r="AD35" s="2">
        <v>3</v>
      </c>
    </row>
    <row r="36" spans="1:30" s="2" customFormat="1" x14ac:dyDescent="0.3">
      <c r="A36" s="1032"/>
      <c r="B36" s="1038"/>
      <c r="C36" s="1038"/>
      <c r="D36" s="1038"/>
      <c r="E36" s="1038"/>
      <c r="F36" s="1038"/>
      <c r="G36" s="1041"/>
      <c r="H36" s="1047"/>
      <c r="I36" s="1041"/>
      <c r="J36" s="1041"/>
      <c r="K36" s="1038"/>
      <c r="L36" s="1038"/>
      <c r="M36" s="1038"/>
      <c r="N36" s="1050"/>
      <c r="O36" s="1053"/>
      <c r="P36" s="1056"/>
      <c r="Q36" s="1041"/>
      <c r="R36" s="1047"/>
      <c r="S36" s="1038"/>
      <c r="T36" s="534">
        <v>45628</v>
      </c>
      <c r="U36" s="1035"/>
      <c r="V36" s="530">
        <v>14992.01</v>
      </c>
      <c r="W36" s="534">
        <v>45635</v>
      </c>
      <c r="X36" s="531"/>
      <c r="Y36" s="530"/>
      <c r="Z36" s="530"/>
      <c r="AA36" s="1035"/>
      <c r="AB36" s="1041"/>
      <c r="AC36" s="1044"/>
      <c r="AD36" s="2">
        <v>3</v>
      </c>
    </row>
    <row r="37" spans="1:30" x14ac:dyDescent="0.3">
      <c r="AD37" s="8">
        <v>4</v>
      </c>
    </row>
  </sheetData>
  <sheetProtection password="EB34" sheet="1" objects="1" scenarios="1" formatCells="0" formatColumns="0" formatRows="0"/>
  <mergeCells count="73">
    <mergeCell ref="O19:O36"/>
    <mergeCell ref="P19:P36"/>
    <mergeCell ref="Q19:Q36"/>
    <mergeCell ref="R19:R36"/>
    <mergeCell ref="S19:S36"/>
    <mergeCell ref="AA19:AA36"/>
    <mergeCell ref="B19:B36"/>
    <mergeCell ref="AB19:AB36"/>
    <mergeCell ref="C19:C36"/>
    <mergeCell ref="AC19:AC36"/>
    <mergeCell ref="D19:D36"/>
    <mergeCell ref="E19:E36"/>
    <mergeCell ref="F19:F36"/>
    <mergeCell ref="G19:G36"/>
    <mergeCell ref="H19:H36"/>
    <mergeCell ref="I19:I36"/>
    <mergeCell ref="J19:J36"/>
    <mergeCell ref="K19:K36"/>
    <mergeCell ref="L19:L36"/>
    <mergeCell ref="M19:M36"/>
    <mergeCell ref="N19:N36"/>
    <mergeCell ref="A19:A36"/>
    <mergeCell ref="U19:U36"/>
    <mergeCell ref="AB9:AB14"/>
    <mergeCell ref="C9:C14"/>
    <mergeCell ref="AC9:AC14"/>
    <mergeCell ref="D9:D14"/>
    <mergeCell ref="E9:E14"/>
    <mergeCell ref="F9:F14"/>
    <mergeCell ref="G9:G14"/>
    <mergeCell ref="H9:H14"/>
    <mergeCell ref="I9:I14"/>
    <mergeCell ref="J9:J14"/>
    <mergeCell ref="K9:K14"/>
    <mergeCell ref="L9:L14"/>
    <mergeCell ref="M9:M14"/>
    <mergeCell ref="N9:N14"/>
    <mergeCell ref="E2:F2"/>
    <mergeCell ref="O2:P2"/>
    <mergeCell ref="Y2:AA2"/>
    <mergeCell ref="T2:U2"/>
    <mergeCell ref="Q9:Q14"/>
    <mergeCell ref="R9:R14"/>
    <mergeCell ref="S9:S14"/>
    <mergeCell ref="U9:U14"/>
    <mergeCell ref="AA9:AA14"/>
    <mergeCell ref="A9:A14"/>
    <mergeCell ref="B9:B14"/>
    <mergeCell ref="A15:A18"/>
    <mergeCell ref="U15:U18"/>
    <mergeCell ref="AA15:AA18"/>
    <mergeCell ref="B15:B18"/>
    <mergeCell ref="Q15:Q18"/>
    <mergeCell ref="R15:R18"/>
    <mergeCell ref="S15:S18"/>
    <mergeCell ref="O9:O14"/>
    <mergeCell ref="P9:P14"/>
    <mergeCell ref="AB15:AB18"/>
    <mergeCell ref="C15:C18"/>
    <mergeCell ref="AC15:AC18"/>
    <mergeCell ref="D15:D18"/>
    <mergeCell ref="E15:E18"/>
    <mergeCell ref="F15:F18"/>
    <mergeCell ref="G15:G18"/>
    <mergeCell ref="H15:H18"/>
    <mergeCell ref="I15:I18"/>
    <mergeCell ref="J15:J18"/>
    <mergeCell ref="K15:K18"/>
    <mergeCell ref="L15:L18"/>
    <mergeCell ref="M15:M18"/>
    <mergeCell ref="N15:N18"/>
    <mergeCell ref="O15:O18"/>
    <mergeCell ref="P15:P18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33"/>
  <sheetViews>
    <sheetView showGridLines="0" tabSelected="1" topLeftCell="F1" zoomScale="70" zoomScaleNormal="70" workbookViewId="0">
      <pane ySplit="8" topLeftCell="A31" activePane="bottomLeft" state="frozen"/>
      <selection pane="bottomLeft" activeCell="X32" sqref="X32"/>
    </sheetView>
  </sheetViews>
  <sheetFormatPr defaultColWidth="0" defaultRowHeight="18" x14ac:dyDescent="0.3"/>
  <cols>
    <col min="1" max="1" width="9.109375" style="3" customWidth="1"/>
    <col min="2" max="2" width="47.109375" style="3" customWidth="1"/>
    <col min="3" max="3" width="34.44140625" style="3" customWidth="1"/>
    <col min="4" max="6" width="33.6640625" style="3" customWidth="1"/>
    <col min="7" max="7" width="22.33203125" style="11" customWidth="1"/>
    <col min="8" max="8" width="22.33203125" style="8" customWidth="1"/>
    <col min="9" max="9" width="24.33203125" style="35" customWidth="1"/>
    <col min="10" max="10" width="28.44140625" style="35" customWidth="1"/>
    <col min="11" max="12" width="19.5546875" style="3" customWidth="1"/>
    <col min="13" max="13" width="25.6640625" style="3" customWidth="1"/>
    <col min="14" max="14" width="24.44140625" style="12" bestFit="1" customWidth="1"/>
    <col min="15" max="15" width="24.44140625" style="3" customWidth="1"/>
    <col min="16" max="16" width="31.5546875" style="3" customWidth="1"/>
    <col min="17" max="17" width="27" style="11" customWidth="1"/>
    <col min="18" max="18" width="21.88671875" style="8" customWidth="1"/>
    <col min="19" max="19" width="23.5546875" style="8" customWidth="1"/>
    <col min="20" max="20" width="32.44140625" style="8" customWidth="1"/>
    <col min="21" max="21" width="27.6640625" style="8" customWidth="1"/>
    <col min="22" max="22" width="25.44140625" style="8" customWidth="1"/>
    <col min="23" max="23" width="25" style="8" customWidth="1"/>
    <col min="24" max="26" width="25.109375" style="8" customWidth="1"/>
    <col min="27" max="27" width="23.88671875" style="8" customWidth="1"/>
    <col min="28" max="28" width="20.33203125" style="8" customWidth="1"/>
    <col min="29" max="29" width="20" style="8" customWidth="1"/>
    <col min="30" max="38" width="0" style="8" hidden="1" customWidth="1"/>
    <col min="39" max="16384" width="9.109375" style="8" hidden="1"/>
  </cols>
  <sheetData>
    <row r="1" spans="1:33" ht="18.600000000000001" thickBot="1" x14ac:dyDescent="0.35">
      <c r="T1" s="16"/>
    </row>
    <row r="2" spans="1:33" ht="39.9" customHeight="1" thickBot="1" x14ac:dyDescent="0.35">
      <c r="E2" s="858" t="s">
        <v>139</v>
      </c>
      <c r="F2" s="859"/>
      <c r="G2" s="100">
        <f>SUM(G9:G9999)</f>
        <v>878669.45</v>
      </c>
      <c r="H2" s="15"/>
      <c r="O2" s="858" t="s">
        <v>24</v>
      </c>
      <c r="P2" s="859"/>
      <c r="Q2" s="98">
        <f>SUM(Q9:Q9999)</f>
        <v>878669.45</v>
      </c>
      <c r="T2" s="683" t="s">
        <v>137</v>
      </c>
      <c r="U2" s="685"/>
      <c r="V2" s="87">
        <f>SUM(V9:V9999)</f>
        <v>866514.62</v>
      </c>
      <c r="X2" s="86"/>
      <c r="Y2" s="683" t="s">
        <v>45</v>
      </c>
      <c r="Z2" s="684"/>
      <c r="AA2" s="685"/>
      <c r="AB2" s="88">
        <f>SUM(AB9:AB9999)</f>
        <v>12154.83</v>
      </c>
    </row>
    <row r="4" spans="1:33" ht="39.9" customHeight="1" x14ac:dyDescent="0.3"/>
    <row r="6" spans="1:33" ht="108" x14ac:dyDescent="0.3">
      <c r="A6" s="23" t="s">
        <v>8</v>
      </c>
      <c r="B6" s="23" t="s">
        <v>47</v>
      </c>
      <c r="C6" s="23" t="s">
        <v>33</v>
      </c>
      <c r="D6" s="23" t="s">
        <v>10</v>
      </c>
      <c r="E6" s="23" t="s">
        <v>11</v>
      </c>
      <c r="F6" s="23" t="s">
        <v>12</v>
      </c>
      <c r="G6" s="31" t="s">
        <v>13</v>
      </c>
      <c r="H6" s="1" t="s">
        <v>34</v>
      </c>
      <c r="I6" s="36" t="s">
        <v>16</v>
      </c>
      <c r="J6" s="36" t="s">
        <v>17</v>
      </c>
      <c r="K6" s="23" t="s">
        <v>14</v>
      </c>
      <c r="L6" s="23" t="s">
        <v>32</v>
      </c>
      <c r="M6" s="23" t="s">
        <v>15</v>
      </c>
      <c r="N6" s="30" t="s">
        <v>0</v>
      </c>
      <c r="O6" s="23" t="s">
        <v>46</v>
      </c>
      <c r="P6" s="23" t="s">
        <v>5</v>
      </c>
      <c r="Q6" s="31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7" t="s">
        <v>40</v>
      </c>
      <c r="Y6" s="17" t="s">
        <v>103</v>
      </c>
      <c r="Z6" s="17" t="s">
        <v>104</v>
      </c>
      <c r="AA6" s="17" t="s">
        <v>41</v>
      </c>
      <c r="AB6" s="1" t="s">
        <v>43</v>
      </c>
      <c r="AC6" s="1" t="s">
        <v>42</v>
      </c>
      <c r="AD6" s="16"/>
      <c r="AE6" s="16"/>
      <c r="AF6" s="16"/>
      <c r="AG6" s="16"/>
    </row>
    <row r="7" spans="1:33" ht="16.2" customHeight="1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  <c r="X7" s="78" t="s">
        <v>132</v>
      </c>
      <c r="Y7" s="78" t="s">
        <v>133</v>
      </c>
      <c r="Z7" s="78" t="s">
        <v>134</v>
      </c>
      <c r="AA7" s="78" t="s">
        <v>135</v>
      </c>
      <c r="AB7" s="78" t="s">
        <v>136</v>
      </c>
      <c r="AC7" s="78" t="s">
        <v>138</v>
      </c>
      <c r="AD7" s="16"/>
      <c r="AE7" s="16"/>
      <c r="AF7" s="16"/>
      <c r="AG7" s="16"/>
    </row>
    <row r="8" spans="1:33" ht="162" hidden="1" x14ac:dyDescent="0.3">
      <c r="A8" s="72" t="s">
        <v>36</v>
      </c>
      <c r="B8" s="72"/>
      <c r="C8" s="72" t="s">
        <v>73</v>
      </c>
      <c r="D8" s="72" t="s">
        <v>74</v>
      </c>
      <c r="E8" s="72" t="s">
        <v>71</v>
      </c>
      <c r="F8" s="72" t="s">
        <v>72</v>
      </c>
      <c r="G8" s="74">
        <v>15500.01</v>
      </c>
      <c r="H8" s="74">
        <f t="shared" ref="H8" si="0">G8-Q8</f>
        <v>6725</v>
      </c>
      <c r="I8" s="97">
        <v>6</v>
      </c>
      <c r="J8" s="97">
        <v>0</v>
      </c>
      <c r="K8" s="72" t="s">
        <v>75</v>
      </c>
      <c r="L8" s="72" t="s">
        <v>76</v>
      </c>
      <c r="M8" s="72" t="s">
        <v>77</v>
      </c>
      <c r="N8" s="73">
        <v>43655</v>
      </c>
      <c r="O8" s="72" t="s">
        <v>79</v>
      </c>
      <c r="P8" s="72" t="s">
        <v>78</v>
      </c>
      <c r="Q8" s="74">
        <v>8775.01</v>
      </c>
      <c r="R8" s="74">
        <f>Q8-V8</f>
        <v>0</v>
      </c>
      <c r="S8" s="72" t="s">
        <v>80</v>
      </c>
      <c r="T8" s="73">
        <v>43677</v>
      </c>
      <c r="U8" s="72" t="s">
        <v>81</v>
      </c>
      <c r="V8" s="74">
        <v>8775.01</v>
      </c>
      <c r="W8" s="73">
        <v>43696</v>
      </c>
      <c r="X8" s="72"/>
      <c r="Y8" s="72"/>
      <c r="Z8" s="72"/>
      <c r="AA8" s="72"/>
      <c r="AB8" s="74"/>
      <c r="AC8" s="75" t="s">
        <v>64</v>
      </c>
    </row>
    <row r="9" spans="1:33" s="107" customFormat="1" ht="144" customHeight="1" x14ac:dyDescent="0.3">
      <c r="A9" s="1059">
        <v>1</v>
      </c>
      <c r="B9" s="1062" t="s">
        <v>56</v>
      </c>
      <c r="C9" s="1062" t="s">
        <v>182</v>
      </c>
      <c r="D9" s="1062" t="s">
        <v>147</v>
      </c>
      <c r="E9" s="1062" t="s">
        <v>183</v>
      </c>
      <c r="F9" s="1062" t="s">
        <v>184</v>
      </c>
      <c r="G9" s="1065">
        <v>667469.44999999995</v>
      </c>
      <c r="H9" s="1068">
        <f>IF(AD9 = 1, G9 - Q9,0)</f>
        <v>0</v>
      </c>
      <c r="I9" s="1065">
        <v>1</v>
      </c>
      <c r="J9" s="1065"/>
      <c r="K9" s="1062" t="s">
        <v>163</v>
      </c>
      <c r="L9" s="1062" t="s">
        <v>185</v>
      </c>
      <c r="M9" s="1062" t="s">
        <v>183</v>
      </c>
      <c r="N9" s="1074">
        <v>45285</v>
      </c>
      <c r="O9" s="1062" t="s">
        <v>186</v>
      </c>
      <c r="P9" s="1062" t="s">
        <v>187</v>
      </c>
      <c r="Q9" s="1065">
        <v>667469.44999999995</v>
      </c>
      <c r="R9" s="1068">
        <f>IF(AD9 = 1, Q9 + SUM(Y9:Y30) - SUM(Z9:Z30) - SUM(V9:V30) - AB9,0)</f>
        <v>-4.1836756281554699E-11</v>
      </c>
      <c r="S9" s="1062"/>
      <c r="T9" s="220">
        <v>45324</v>
      </c>
      <c r="U9" s="1062" t="s">
        <v>165</v>
      </c>
      <c r="V9" s="213">
        <v>23760</v>
      </c>
      <c r="W9" s="220">
        <v>45334</v>
      </c>
      <c r="X9" s="214"/>
      <c r="Y9" s="213"/>
      <c r="Z9" s="213"/>
      <c r="AA9" s="1062"/>
      <c r="AB9" s="1065">
        <v>12154.83</v>
      </c>
      <c r="AC9" s="1071"/>
      <c r="AD9" s="107">
        <v>1</v>
      </c>
    </row>
    <row r="10" spans="1:33" s="2" customFormat="1" x14ac:dyDescent="0.3">
      <c r="A10" s="1060"/>
      <c r="B10" s="1063"/>
      <c r="C10" s="1063"/>
      <c r="D10" s="1063"/>
      <c r="E10" s="1063"/>
      <c r="F10" s="1063"/>
      <c r="G10" s="1066"/>
      <c r="H10" s="1069"/>
      <c r="I10" s="1066"/>
      <c r="J10" s="1066"/>
      <c r="K10" s="1063"/>
      <c r="L10" s="1063"/>
      <c r="M10" s="1063"/>
      <c r="N10" s="1075"/>
      <c r="O10" s="1063"/>
      <c r="P10" s="1063"/>
      <c r="Q10" s="1066"/>
      <c r="R10" s="1069"/>
      <c r="S10" s="1063"/>
      <c r="T10" s="221">
        <v>45329</v>
      </c>
      <c r="U10" s="1063"/>
      <c r="V10" s="215">
        <v>450</v>
      </c>
      <c r="W10" s="221">
        <v>45334</v>
      </c>
      <c r="X10" s="216"/>
      <c r="Y10" s="215"/>
      <c r="Z10" s="215"/>
      <c r="AA10" s="1063"/>
      <c r="AB10" s="1066"/>
      <c r="AC10" s="1072"/>
      <c r="AD10" s="2">
        <v>1</v>
      </c>
    </row>
    <row r="11" spans="1:33" s="2" customFormat="1" x14ac:dyDescent="0.3">
      <c r="A11" s="1060"/>
      <c r="B11" s="1063"/>
      <c r="C11" s="1063"/>
      <c r="D11" s="1063"/>
      <c r="E11" s="1063"/>
      <c r="F11" s="1063"/>
      <c r="G11" s="1066"/>
      <c r="H11" s="1069"/>
      <c r="I11" s="1066"/>
      <c r="J11" s="1066"/>
      <c r="K11" s="1063"/>
      <c r="L11" s="1063"/>
      <c r="M11" s="1063"/>
      <c r="N11" s="1075"/>
      <c r="O11" s="1063"/>
      <c r="P11" s="1063"/>
      <c r="Q11" s="1066"/>
      <c r="R11" s="1069"/>
      <c r="S11" s="1063"/>
      <c r="T11" s="221">
        <v>45317</v>
      </c>
      <c r="U11" s="1063"/>
      <c r="V11" s="215">
        <v>27600</v>
      </c>
      <c r="W11" s="221">
        <v>45334</v>
      </c>
      <c r="X11" s="216"/>
      <c r="Y11" s="215"/>
      <c r="Z11" s="215"/>
      <c r="AA11" s="1063"/>
      <c r="AB11" s="1066"/>
      <c r="AC11" s="1072"/>
      <c r="AD11" s="2">
        <v>1</v>
      </c>
    </row>
    <row r="12" spans="1:33" s="2" customFormat="1" x14ac:dyDescent="0.3">
      <c r="A12" s="1060"/>
      <c r="B12" s="1063"/>
      <c r="C12" s="1063"/>
      <c r="D12" s="1063"/>
      <c r="E12" s="1063"/>
      <c r="F12" s="1063"/>
      <c r="G12" s="1066"/>
      <c r="H12" s="1069"/>
      <c r="I12" s="1066"/>
      <c r="J12" s="1066"/>
      <c r="K12" s="1063"/>
      <c r="L12" s="1063"/>
      <c r="M12" s="1063"/>
      <c r="N12" s="1075"/>
      <c r="O12" s="1063"/>
      <c r="P12" s="1063"/>
      <c r="Q12" s="1066"/>
      <c r="R12" s="1069"/>
      <c r="S12" s="1063"/>
      <c r="T12" s="221">
        <v>45324</v>
      </c>
      <c r="U12" s="1063"/>
      <c r="V12" s="215">
        <v>68246.42</v>
      </c>
      <c r="W12" s="221">
        <v>45338</v>
      </c>
      <c r="X12" s="216"/>
      <c r="Y12" s="215"/>
      <c r="Z12" s="215"/>
      <c r="AA12" s="1063"/>
      <c r="AB12" s="1066"/>
      <c r="AC12" s="1072"/>
      <c r="AD12" s="2">
        <v>1</v>
      </c>
    </row>
    <row r="13" spans="1:33" s="2" customFormat="1" x14ac:dyDescent="0.3">
      <c r="A13" s="1060"/>
      <c r="B13" s="1063"/>
      <c r="C13" s="1063"/>
      <c r="D13" s="1063"/>
      <c r="E13" s="1063"/>
      <c r="F13" s="1063"/>
      <c r="G13" s="1066"/>
      <c r="H13" s="1069"/>
      <c r="I13" s="1066"/>
      <c r="J13" s="1066"/>
      <c r="K13" s="1063"/>
      <c r="L13" s="1063"/>
      <c r="M13" s="1063"/>
      <c r="N13" s="1075"/>
      <c r="O13" s="1063"/>
      <c r="P13" s="1063"/>
      <c r="Q13" s="1066"/>
      <c r="R13" s="1069"/>
      <c r="S13" s="1063"/>
      <c r="T13" s="221">
        <v>45324</v>
      </c>
      <c r="U13" s="1063"/>
      <c r="V13" s="215">
        <v>4356.22</v>
      </c>
      <c r="W13" s="221">
        <v>45338</v>
      </c>
      <c r="X13" s="216"/>
      <c r="Y13" s="215"/>
      <c r="Z13" s="215"/>
      <c r="AA13" s="1063"/>
      <c r="AB13" s="1066"/>
      <c r="AC13" s="1072"/>
      <c r="AD13" s="2">
        <v>1</v>
      </c>
    </row>
    <row r="14" spans="1:33" s="2" customFormat="1" x14ac:dyDescent="0.3">
      <c r="A14" s="1060"/>
      <c r="B14" s="1063"/>
      <c r="C14" s="1063"/>
      <c r="D14" s="1063"/>
      <c r="E14" s="1063"/>
      <c r="F14" s="1063"/>
      <c r="G14" s="1066"/>
      <c r="H14" s="1069"/>
      <c r="I14" s="1066"/>
      <c r="J14" s="1066"/>
      <c r="K14" s="1063"/>
      <c r="L14" s="1063"/>
      <c r="M14" s="1063"/>
      <c r="N14" s="1075"/>
      <c r="O14" s="1063"/>
      <c r="P14" s="1063"/>
      <c r="Q14" s="1066"/>
      <c r="R14" s="1069"/>
      <c r="S14" s="1063"/>
      <c r="T14" s="221">
        <v>45329</v>
      </c>
      <c r="U14" s="1063"/>
      <c r="V14" s="215">
        <v>1292.55</v>
      </c>
      <c r="W14" s="221">
        <v>45338</v>
      </c>
      <c r="X14" s="216"/>
      <c r="Y14" s="215"/>
      <c r="Z14" s="215"/>
      <c r="AA14" s="1063"/>
      <c r="AB14" s="1066"/>
      <c r="AC14" s="1072"/>
      <c r="AD14" s="2">
        <v>1</v>
      </c>
    </row>
    <row r="15" spans="1:33" s="2" customFormat="1" x14ac:dyDescent="0.3">
      <c r="A15" s="1060"/>
      <c r="B15" s="1063"/>
      <c r="C15" s="1063"/>
      <c r="D15" s="1063"/>
      <c r="E15" s="1063"/>
      <c r="F15" s="1063"/>
      <c r="G15" s="1066"/>
      <c r="H15" s="1069"/>
      <c r="I15" s="1066"/>
      <c r="J15" s="1066"/>
      <c r="K15" s="1063"/>
      <c r="L15" s="1063"/>
      <c r="M15" s="1063"/>
      <c r="N15" s="1075"/>
      <c r="O15" s="1063"/>
      <c r="P15" s="1063"/>
      <c r="Q15" s="1066"/>
      <c r="R15" s="1069"/>
      <c r="S15" s="1063"/>
      <c r="T15" s="221">
        <v>45329</v>
      </c>
      <c r="U15" s="1063"/>
      <c r="V15" s="215">
        <v>82.5</v>
      </c>
      <c r="W15" s="221">
        <v>45338</v>
      </c>
      <c r="X15" s="216"/>
      <c r="Y15" s="215"/>
      <c r="Z15" s="215"/>
      <c r="AA15" s="1063"/>
      <c r="AB15" s="1066"/>
      <c r="AC15" s="1072"/>
      <c r="AD15" s="2">
        <v>1</v>
      </c>
    </row>
    <row r="16" spans="1:33" s="2" customFormat="1" x14ac:dyDescent="0.3">
      <c r="A16" s="1060"/>
      <c r="B16" s="1063"/>
      <c r="C16" s="1063"/>
      <c r="D16" s="1063"/>
      <c r="E16" s="1063"/>
      <c r="F16" s="1063"/>
      <c r="G16" s="1066"/>
      <c r="H16" s="1069"/>
      <c r="I16" s="1066"/>
      <c r="J16" s="1066"/>
      <c r="K16" s="1063"/>
      <c r="L16" s="1063"/>
      <c r="M16" s="1063"/>
      <c r="N16" s="1075"/>
      <c r="O16" s="1063"/>
      <c r="P16" s="1063"/>
      <c r="Q16" s="1066"/>
      <c r="R16" s="1069"/>
      <c r="S16" s="1063"/>
      <c r="T16" s="221">
        <v>45317</v>
      </c>
      <c r="U16" s="1063"/>
      <c r="V16" s="215">
        <v>79276.14</v>
      </c>
      <c r="W16" s="221">
        <v>45338</v>
      </c>
      <c r="X16" s="216"/>
      <c r="Y16" s="215"/>
      <c r="Z16" s="215"/>
      <c r="AA16" s="1063"/>
      <c r="AB16" s="1066"/>
      <c r="AC16" s="1072"/>
      <c r="AD16" s="2">
        <v>1</v>
      </c>
    </row>
    <row r="17" spans="1:30" s="2" customFormat="1" x14ac:dyDescent="0.3">
      <c r="A17" s="1060"/>
      <c r="B17" s="1063"/>
      <c r="C17" s="1063"/>
      <c r="D17" s="1063"/>
      <c r="E17" s="1063"/>
      <c r="F17" s="1063"/>
      <c r="G17" s="1066"/>
      <c r="H17" s="1069"/>
      <c r="I17" s="1066"/>
      <c r="J17" s="1066"/>
      <c r="K17" s="1063"/>
      <c r="L17" s="1063"/>
      <c r="M17" s="1063"/>
      <c r="N17" s="1075"/>
      <c r="O17" s="1063"/>
      <c r="P17" s="1063"/>
      <c r="Q17" s="1066"/>
      <c r="R17" s="1069"/>
      <c r="S17" s="1063"/>
      <c r="T17" s="221">
        <v>45317</v>
      </c>
      <c r="U17" s="1063"/>
      <c r="V17" s="215">
        <v>5060.26</v>
      </c>
      <c r="W17" s="221">
        <v>45338</v>
      </c>
      <c r="X17" s="216"/>
      <c r="Y17" s="215"/>
      <c r="Z17" s="215"/>
      <c r="AA17" s="1063"/>
      <c r="AB17" s="1066"/>
      <c r="AC17" s="1072"/>
      <c r="AD17" s="2">
        <v>1</v>
      </c>
    </row>
    <row r="18" spans="1:30" s="2" customFormat="1" x14ac:dyDescent="0.3">
      <c r="A18" s="1060"/>
      <c r="B18" s="1063"/>
      <c r="C18" s="1063"/>
      <c r="D18" s="1063"/>
      <c r="E18" s="1063"/>
      <c r="F18" s="1063"/>
      <c r="G18" s="1066"/>
      <c r="H18" s="1069"/>
      <c r="I18" s="1066"/>
      <c r="J18" s="1066"/>
      <c r="K18" s="1063"/>
      <c r="L18" s="1063"/>
      <c r="M18" s="1063"/>
      <c r="N18" s="1075"/>
      <c r="O18" s="1063"/>
      <c r="P18" s="1063"/>
      <c r="Q18" s="1066"/>
      <c r="R18" s="1069"/>
      <c r="S18" s="1063"/>
      <c r="T18" s="221">
        <v>45343</v>
      </c>
      <c r="U18" s="1063"/>
      <c r="V18" s="215">
        <v>32730</v>
      </c>
      <c r="W18" s="221">
        <v>45348</v>
      </c>
      <c r="X18" s="216"/>
      <c r="Y18" s="215"/>
      <c r="Z18" s="215"/>
      <c r="AA18" s="1063"/>
      <c r="AB18" s="1066"/>
      <c r="AC18" s="1072"/>
      <c r="AD18" s="2">
        <v>1</v>
      </c>
    </row>
    <row r="19" spans="1:30" s="2" customFormat="1" x14ac:dyDescent="0.3">
      <c r="A19" s="1060"/>
      <c r="B19" s="1063"/>
      <c r="C19" s="1063"/>
      <c r="D19" s="1063"/>
      <c r="E19" s="1063"/>
      <c r="F19" s="1063"/>
      <c r="G19" s="1066"/>
      <c r="H19" s="1069"/>
      <c r="I19" s="1066"/>
      <c r="J19" s="1066"/>
      <c r="K19" s="1063"/>
      <c r="L19" s="1063"/>
      <c r="M19" s="1063"/>
      <c r="N19" s="1075"/>
      <c r="O19" s="1063"/>
      <c r="P19" s="1063"/>
      <c r="Q19" s="1066"/>
      <c r="R19" s="1069"/>
      <c r="S19" s="1063"/>
      <c r="T19" s="221">
        <v>45343</v>
      </c>
      <c r="U19" s="1063"/>
      <c r="V19" s="215">
        <v>94011.16</v>
      </c>
      <c r="W19" s="221">
        <v>45348</v>
      </c>
      <c r="X19" s="216"/>
      <c r="Y19" s="215"/>
      <c r="Z19" s="215"/>
      <c r="AA19" s="1063"/>
      <c r="AB19" s="1066"/>
      <c r="AC19" s="1072"/>
      <c r="AD19" s="2">
        <v>1</v>
      </c>
    </row>
    <row r="20" spans="1:30" s="2" customFormat="1" x14ac:dyDescent="0.3">
      <c r="A20" s="1060"/>
      <c r="B20" s="1063"/>
      <c r="C20" s="1063"/>
      <c r="D20" s="1063"/>
      <c r="E20" s="1063"/>
      <c r="F20" s="1063"/>
      <c r="G20" s="1066"/>
      <c r="H20" s="1069"/>
      <c r="I20" s="1066"/>
      <c r="J20" s="1066"/>
      <c r="K20" s="1063"/>
      <c r="L20" s="1063"/>
      <c r="M20" s="1063"/>
      <c r="N20" s="1075"/>
      <c r="O20" s="1063"/>
      <c r="P20" s="1063"/>
      <c r="Q20" s="1066"/>
      <c r="R20" s="1069"/>
      <c r="S20" s="1063"/>
      <c r="T20" s="221">
        <v>45343</v>
      </c>
      <c r="U20" s="1063"/>
      <c r="V20" s="215">
        <v>6000.81</v>
      </c>
      <c r="W20" s="221">
        <v>45348</v>
      </c>
      <c r="X20" s="216"/>
      <c r="Y20" s="215"/>
      <c r="Z20" s="215"/>
      <c r="AA20" s="1063"/>
      <c r="AB20" s="1066"/>
      <c r="AC20" s="1072"/>
      <c r="AD20" s="2">
        <v>1</v>
      </c>
    </row>
    <row r="21" spans="1:30" s="2" customFormat="1" x14ac:dyDescent="0.3">
      <c r="A21" s="1060"/>
      <c r="B21" s="1063"/>
      <c r="C21" s="1063"/>
      <c r="D21" s="1063"/>
      <c r="E21" s="1063"/>
      <c r="F21" s="1063"/>
      <c r="G21" s="1066"/>
      <c r="H21" s="1069"/>
      <c r="I21" s="1066"/>
      <c r="J21" s="1066"/>
      <c r="K21" s="1063"/>
      <c r="L21" s="1063"/>
      <c r="M21" s="1063"/>
      <c r="N21" s="1075"/>
      <c r="O21" s="1063"/>
      <c r="P21" s="1063"/>
      <c r="Q21" s="1066"/>
      <c r="R21" s="1069"/>
      <c r="S21" s="1063"/>
      <c r="T21" s="221">
        <v>45358</v>
      </c>
      <c r="U21" s="1063"/>
      <c r="V21" s="215">
        <v>74967.66</v>
      </c>
      <c r="W21" s="221">
        <v>45371</v>
      </c>
      <c r="X21" s="216"/>
      <c r="Y21" s="215"/>
      <c r="Z21" s="215"/>
      <c r="AA21" s="1063"/>
      <c r="AB21" s="1066"/>
      <c r="AC21" s="1072"/>
      <c r="AD21" s="2">
        <v>1</v>
      </c>
    </row>
    <row r="22" spans="1:30" s="2" customFormat="1" x14ac:dyDescent="0.3">
      <c r="A22" s="1060"/>
      <c r="B22" s="1063"/>
      <c r="C22" s="1063"/>
      <c r="D22" s="1063"/>
      <c r="E22" s="1063"/>
      <c r="F22" s="1063"/>
      <c r="G22" s="1066"/>
      <c r="H22" s="1069"/>
      <c r="I22" s="1066"/>
      <c r="J22" s="1066"/>
      <c r="K22" s="1063"/>
      <c r="L22" s="1063"/>
      <c r="M22" s="1063"/>
      <c r="N22" s="1075"/>
      <c r="O22" s="1063"/>
      <c r="P22" s="1063"/>
      <c r="Q22" s="1066"/>
      <c r="R22" s="1069"/>
      <c r="S22" s="1063"/>
      <c r="T22" s="221">
        <v>45358</v>
      </c>
      <c r="U22" s="1063"/>
      <c r="V22" s="215">
        <v>4785.24</v>
      </c>
      <c r="W22" s="221">
        <v>45371</v>
      </c>
      <c r="X22" s="216"/>
      <c r="Y22" s="215"/>
      <c r="Z22" s="215"/>
      <c r="AA22" s="1063"/>
      <c r="AB22" s="1066"/>
      <c r="AC22" s="1072"/>
      <c r="AD22" s="2">
        <v>1</v>
      </c>
    </row>
    <row r="23" spans="1:30" s="2" customFormat="1" x14ac:dyDescent="0.3">
      <c r="A23" s="1060"/>
      <c r="B23" s="1063"/>
      <c r="C23" s="1063"/>
      <c r="D23" s="1063"/>
      <c r="E23" s="1063"/>
      <c r="F23" s="1063"/>
      <c r="G23" s="1066"/>
      <c r="H23" s="1069"/>
      <c r="I23" s="1066"/>
      <c r="J23" s="1066"/>
      <c r="K23" s="1063"/>
      <c r="L23" s="1063"/>
      <c r="M23" s="1063"/>
      <c r="N23" s="1075"/>
      <c r="O23" s="1063"/>
      <c r="P23" s="1063"/>
      <c r="Q23" s="1066"/>
      <c r="R23" s="1069"/>
      <c r="S23" s="1063"/>
      <c r="T23" s="221">
        <v>45358</v>
      </c>
      <c r="U23" s="1063"/>
      <c r="V23" s="215">
        <v>26100</v>
      </c>
      <c r="W23" s="221">
        <v>45371</v>
      </c>
      <c r="X23" s="216"/>
      <c r="Y23" s="215"/>
      <c r="Z23" s="215"/>
      <c r="AA23" s="1063"/>
      <c r="AB23" s="1066"/>
      <c r="AC23" s="1072"/>
      <c r="AD23" s="2">
        <v>1</v>
      </c>
    </row>
    <row r="24" spans="1:30" s="2" customFormat="1" x14ac:dyDescent="0.3">
      <c r="A24" s="1060"/>
      <c r="B24" s="1063"/>
      <c r="C24" s="1063"/>
      <c r="D24" s="1063"/>
      <c r="E24" s="1063"/>
      <c r="F24" s="1063"/>
      <c r="G24" s="1066"/>
      <c r="H24" s="1069"/>
      <c r="I24" s="1066"/>
      <c r="J24" s="1066"/>
      <c r="K24" s="1063"/>
      <c r="L24" s="1063"/>
      <c r="M24" s="1063"/>
      <c r="N24" s="1075"/>
      <c r="O24" s="1063"/>
      <c r="P24" s="1063"/>
      <c r="Q24" s="1066"/>
      <c r="R24" s="1069"/>
      <c r="S24" s="1063"/>
      <c r="T24" s="221">
        <v>45371</v>
      </c>
      <c r="U24" s="1063"/>
      <c r="V24" s="215">
        <v>96251.58</v>
      </c>
      <c r="W24" s="221">
        <v>45379</v>
      </c>
      <c r="X24" s="216"/>
      <c r="Y24" s="215"/>
      <c r="Z24" s="215"/>
      <c r="AA24" s="1063"/>
      <c r="AB24" s="1066"/>
      <c r="AC24" s="1072"/>
      <c r="AD24" s="2">
        <v>1</v>
      </c>
    </row>
    <row r="25" spans="1:30" s="2" customFormat="1" x14ac:dyDescent="0.3">
      <c r="A25" s="1060"/>
      <c r="B25" s="1063"/>
      <c r="C25" s="1063"/>
      <c r="D25" s="1063"/>
      <c r="E25" s="1063"/>
      <c r="F25" s="1063"/>
      <c r="G25" s="1066"/>
      <c r="H25" s="1069"/>
      <c r="I25" s="1066"/>
      <c r="J25" s="1066"/>
      <c r="K25" s="1063"/>
      <c r="L25" s="1063"/>
      <c r="M25" s="1063"/>
      <c r="N25" s="1075"/>
      <c r="O25" s="1063"/>
      <c r="P25" s="1063"/>
      <c r="Q25" s="1066"/>
      <c r="R25" s="1069"/>
      <c r="S25" s="1063"/>
      <c r="T25" s="221">
        <v>45371</v>
      </c>
      <c r="U25" s="1063"/>
      <c r="V25" s="215">
        <v>6143.81</v>
      </c>
      <c r="W25" s="221">
        <v>45379</v>
      </c>
      <c r="X25" s="216"/>
      <c r="Y25" s="215"/>
      <c r="Z25" s="215"/>
      <c r="AA25" s="1063"/>
      <c r="AB25" s="1066"/>
      <c r="AC25" s="1072"/>
      <c r="AD25" s="2">
        <v>1</v>
      </c>
    </row>
    <row r="26" spans="1:30" s="2" customFormat="1" x14ac:dyDescent="0.3">
      <c r="A26" s="1060"/>
      <c r="B26" s="1063"/>
      <c r="C26" s="1063"/>
      <c r="D26" s="1063"/>
      <c r="E26" s="1063"/>
      <c r="F26" s="1063"/>
      <c r="G26" s="1066"/>
      <c r="H26" s="1069"/>
      <c r="I26" s="1066"/>
      <c r="J26" s="1066"/>
      <c r="K26" s="1063"/>
      <c r="L26" s="1063"/>
      <c r="M26" s="1063"/>
      <c r="N26" s="1075"/>
      <c r="O26" s="1063"/>
      <c r="P26" s="1063"/>
      <c r="Q26" s="1066"/>
      <c r="R26" s="1069"/>
      <c r="S26" s="1063"/>
      <c r="T26" s="221">
        <v>45371</v>
      </c>
      <c r="U26" s="1063"/>
      <c r="V26" s="215">
        <v>33510</v>
      </c>
      <c r="W26" s="221">
        <v>45379</v>
      </c>
      <c r="X26" s="216"/>
      <c r="Y26" s="215"/>
      <c r="Z26" s="215"/>
      <c r="AA26" s="1063"/>
      <c r="AB26" s="1066"/>
      <c r="AC26" s="1072"/>
      <c r="AD26" s="2">
        <v>1</v>
      </c>
    </row>
    <row r="27" spans="1:30" s="2" customFormat="1" x14ac:dyDescent="0.3">
      <c r="A27" s="1060"/>
      <c r="B27" s="1063"/>
      <c r="C27" s="1063"/>
      <c r="D27" s="1063"/>
      <c r="E27" s="1063"/>
      <c r="F27" s="1063"/>
      <c r="G27" s="1066"/>
      <c r="H27" s="1069"/>
      <c r="I27" s="1066"/>
      <c r="J27" s="1066"/>
      <c r="K27" s="1063"/>
      <c r="L27" s="1063"/>
      <c r="M27" s="1063"/>
      <c r="N27" s="1075"/>
      <c r="O27" s="1063"/>
      <c r="P27" s="1063"/>
      <c r="Q27" s="1066"/>
      <c r="R27" s="1069"/>
      <c r="S27" s="1063"/>
      <c r="T27" s="221">
        <v>45379</v>
      </c>
      <c r="U27" s="1063"/>
      <c r="V27" s="215">
        <v>17430</v>
      </c>
      <c r="W27" s="221">
        <v>45387</v>
      </c>
      <c r="X27" s="216"/>
      <c r="Y27" s="215"/>
      <c r="Z27" s="215"/>
      <c r="AA27" s="1063"/>
      <c r="AB27" s="1066"/>
      <c r="AC27" s="1072"/>
      <c r="AD27" s="2">
        <v>1</v>
      </c>
    </row>
    <row r="28" spans="1:30" s="2" customFormat="1" x14ac:dyDescent="0.3">
      <c r="A28" s="1060"/>
      <c r="B28" s="1063"/>
      <c r="C28" s="1063"/>
      <c r="D28" s="1063"/>
      <c r="E28" s="1063"/>
      <c r="F28" s="1063"/>
      <c r="G28" s="1066"/>
      <c r="H28" s="1069"/>
      <c r="I28" s="1066"/>
      <c r="J28" s="1066"/>
      <c r="K28" s="1063"/>
      <c r="L28" s="1063"/>
      <c r="M28" s="1063"/>
      <c r="N28" s="1075"/>
      <c r="O28" s="1063"/>
      <c r="P28" s="1063"/>
      <c r="Q28" s="1066"/>
      <c r="R28" s="1069"/>
      <c r="S28" s="1063"/>
      <c r="T28" s="221">
        <v>45379</v>
      </c>
      <c r="U28" s="1063"/>
      <c r="V28" s="215">
        <v>50064.61</v>
      </c>
      <c r="W28" s="221">
        <v>45387</v>
      </c>
      <c r="X28" s="216"/>
      <c r="Y28" s="215"/>
      <c r="Z28" s="215"/>
      <c r="AA28" s="1063"/>
      <c r="AB28" s="1066"/>
      <c r="AC28" s="1072"/>
      <c r="AD28" s="2">
        <v>1</v>
      </c>
    </row>
    <row r="29" spans="1:30" s="2" customFormat="1" x14ac:dyDescent="0.3">
      <c r="A29" s="1060"/>
      <c r="B29" s="1063"/>
      <c r="C29" s="1063"/>
      <c r="D29" s="1063"/>
      <c r="E29" s="1063"/>
      <c r="F29" s="1063"/>
      <c r="G29" s="1066"/>
      <c r="H29" s="1069"/>
      <c r="I29" s="1066"/>
      <c r="J29" s="1066"/>
      <c r="K29" s="1063"/>
      <c r="L29" s="1063"/>
      <c r="M29" s="1063"/>
      <c r="N29" s="1075"/>
      <c r="O29" s="1063"/>
      <c r="P29" s="1063"/>
      <c r="Q29" s="1066"/>
      <c r="R29" s="1069"/>
      <c r="S29" s="1063"/>
      <c r="T29" s="221">
        <v>45379</v>
      </c>
      <c r="U29" s="1063"/>
      <c r="V29" s="215">
        <v>3195.66</v>
      </c>
      <c r="W29" s="221">
        <v>45387</v>
      </c>
      <c r="X29" s="216"/>
      <c r="Y29" s="215"/>
      <c r="Z29" s="215"/>
      <c r="AA29" s="1063"/>
      <c r="AB29" s="1066"/>
      <c r="AC29" s="1072"/>
      <c r="AD29" s="2">
        <v>1</v>
      </c>
    </row>
    <row r="30" spans="1:30" s="2" customFormat="1" x14ac:dyDescent="0.3">
      <c r="A30" s="1061"/>
      <c r="B30" s="1064"/>
      <c r="C30" s="1064"/>
      <c r="D30" s="1064"/>
      <c r="E30" s="1064"/>
      <c r="F30" s="1064"/>
      <c r="G30" s="1067"/>
      <c r="H30" s="1070"/>
      <c r="I30" s="1067"/>
      <c r="J30" s="1067"/>
      <c r="K30" s="1064"/>
      <c r="L30" s="1064"/>
      <c r="M30" s="1064"/>
      <c r="N30" s="1076"/>
      <c r="O30" s="1064"/>
      <c r="P30" s="1064"/>
      <c r="Q30" s="1067"/>
      <c r="R30" s="1070"/>
      <c r="S30" s="1064"/>
      <c r="T30" s="222"/>
      <c r="U30" s="1064"/>
      <c r="V30" s="217"/>
      <c r="W30" s="222"/>
      <c r="X30" s="218"/>
      <c r="Y30" s="217"/>
      <c r="Z30" s="217"/>
      <c r="AA30" s="1064"/>
      <c r="AB30" s="1067"/>
      <c r="AC30" s="1073"/>
      <c r="AD30" s="2">
        <v>1</v>
      </c>
    </row>
    <row r="31" spans="1:30" s="107" customFormat="1" ht="144" customHeight="1" x14ac:dyDescent="0.3">
      <c r="A31" s="1018">
        <v>2</v>
      </c>
      <c r="B31" s="1000" t="s">
        <v>56</v>
      </c>
      <c r="C31" s="1000" t="s">
        <v>390</v>
      </c>
      <c r="D31" s="1000" t="s">
        <v>147</v>
      </c>
      <c r="E31" s="1000" t="s">
        <v>391</v>
      </c>
      <c r="F31" s="1000" t="s">
        <v>392</v>
      </c>
      <c r="G31" s="997">
        <v>211200</v>
      </c>
      <c r="H31" s="1006">
        <f>IF(AD31 = 2, G31 - Q31,0)</f>
        <v>0</v>
      </c>
      <c r="I31" s="997">
        <v>1</v>
      </c>
      <c r="J31" s="997"/>
      <c r="K31" s="1000" t="s">
        <v>163</v>
      </c>
      <c r="L31" s="1000" t="s">
        <v>393</v>
      </c>
      <c r="M31" s="1000" t="s">
        <v>394</v>
      </c>
      <c r="N31" s="1009">
        <v>45566</v>
      </c>
      <c r="O31" s="1000" t="s">
        <v>395</v>
      </c>
      <c r="P31" s="1000" t="s">
        <v>379</v>
      </c>
      <c r="Q31" s="997">
        <v>211200</v>
      </c>
      <c r="R31" s="1006">
        <f>IF(AD31 = 2, Q31 + SUM(Y31:Y32) - SUM(Z31:Z32) - SUM(V31:V32) - AB31,0)</f>
        <v>0</v>
      </c>
      <c r="S31" s="1000"/>
      <c r="T31" s="487">
        <v>45597</v>
      </c>
      <c r="U31" s="1000" t="s">
        <v>165</v>
      </c>
      <c r="V31" s="483">
        <v>103680</v>
      </c>
      <c r="W31" s="487">
        <v>45602</v>
      </c>
      <c r="X31" s="484"/>
      <c r="Y31" s="483"/>
      <c r="Z31" s="483"/>
      <c r="AA31" s="1000"/>
      <c r="AB31" s="997"/>
      <c r="AC31" s="1057"/>
      <c r="AD31" s="107">
        <v>2</v>
      </c>
    </row>
    <row r="32" spans="1:30" s="2" customFormat="1" x14ac:dyDescent="0.3">
      <c r="A32" s="1020"/>
      <c r="B32" s="1002"/>
      <c r="C32" s="1002"/>
      <c r="D32" s="1002"/>
      <c r="E32" s="1002"/>
      <c r="F32" s="1002"/>
      <c r="G32" s="999"/>
      <c r="H32" s="1008"/>
      <c r="I32" s="999"/>
      <c r="J32" s="999"/>
      <c r="K32" s="1002"/>
      <c r="L32" s="1002"/>
      <c r="M32" s="1002"/>
      <c r="N32" s="1011"/>
      <c r="O32" s="1002"/>
      <c r="P32" s="1002"/>
      <c r="Q32" s="999"/>
      <c r="R32" s="1008"/>
      <c r="S32" s="1002"/>
      <c r="T32" s="488">
        <v>45625</v>
      </c>
      <c r="U32" s="1002"/>
      <c r="V32" s="485">
        <v>107520</v>
      </c>
      <c r="W32" s="488">
        <v>45632</v>
      </c>
      <c r="X32" s="486"/>
      <c r="Y32" s="485"/>
      <c r="Z32" s="485"/>
      <c r="AA32" s="1002"/>
      <c r="AB32" s="999"/>
      <c r="AC32" s="1058"/>
      <c r="AD32" s="2">
        <v>2</v>
      </c>
    </row>
    <row r="33" spans="1:30" x14ac:dyDescent="0.3">
      <c r="A33" s="14"/>
      <c r="B33" s="14"/>
      <c r="C33" s="14"/>
      <c r="D33" s="14"/>
      <c r="E33" s="14"/>
      <c r="F33" s="14"/>
      <c r="G33" s="15"/>
      <c r="H33" s="16"/>
      <c r="I33" s="105"/>
      <c r="J33" s="105"/>
      <c r="K33" s="14"/>
      <c r="L33" s="14"/>
      <c r="M33" s="14"/>
      <c r="N33" s="29"/>
      <c r="O33" s="14"/>
      <c r="P33" s="14"/>
      <c r="Q33" s="15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8">
        <v>3</v>
      </c>
    </row>
  </sheetData>
  <sheetProtection password="EB34" sheet="1" objects="1" scenarios="1" formatCells="0" formatColumns="0" formatRows="0"/>
  <mergeCells count="50">
    <mergeCell ref="AB9:AB30"/>
    <mergeCell ref="C9:C30"/>
    <mergeCell ref="S9:S30"/>
    <mergeCell ref="AC9:AC30"/>
    <mergeCell ref="D9:D30"/>
    <mergeCell ref="E9:E30"/>
    <mergeCell ref="F9:F30"/>
    <mergeCell ref="G9:G30"/>
    <mergeCell ref="H9:H30"/>
    <mergeCell ref="I9:I30"/>
    <mergeCell ref="J9:J30"/>
    <mergeCell ref="K9:K30"/>
    <mergeCell ref="L9:L30"/>
    <mergeCell ref="M9:M30"/>
    <mergeCell ref="N9:N30"/>
    <mergeCell ref="O9:O30"/>
    <mergeCell ref="E2:F2"/>
    <mergeCell ref="O2:P2"/>
    <mergeCell ref="Y2:AA2"/>
    <mergeCell ref="T2:U2"/>
    <mergeCell ref="A9:A30"/>
    <mergeCell ref="U9:U30"/>
    <mergeCell ref="AA9:AA30"/>
    <mergeCell ref="B9:B30"/>
    <mergeCell ref="P9:P30"/>
    <mergeCell ref="Q9:Q30"/>
    <mergeCell ref="R9:R30"/>
    <mergeCell ref="A31:A32"/>
    <mergeCell ref="U31:U32"/>
    <mergeCell ref="AA31:AA32"/>
    <mergeCell ref="B31:B32"/>
    <mergeCell ref="AB31:AB32"/>
    <mergeCell ref="C31:C32"/>
    <mergeCell ref="S31:S32"/>
    <mergeCell ref="AC31:A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G17"/>
  <sheetViews>
    <sheetView showGridLines="0" zoomScale="50" zoomScaleNormal="50" workbookViewId="0">
      <pane ySplit="8" topLeftCell="A39" activePane="bottomLeft" state="frozen"/>
      <selection pane="bottomLeft" activeCell="C9" sqref="C9"/>
    </sheetView>
  </sheetViews>
  <sheetFormatPr defaultColWidth="0" defaultRowHeight="18" x14ac:dyDescent="0.3"/>
  <cols>
    <col min="1" max="1" width="9.109375" style="8" customWidth="1"/>
    <col min="2" max="2" width="47.109375" style="8" customWidth="1"/>
    <col min="3" max="3" width="33.33203125" style="8" customWidth="1"/>
    <col min="4" max="6" width="33.6640625" style="8" customWidth="1"/>
    <col min="7" max="8" width="22.33203125" style="8" customWidth="1"/>
    <col min="9" max="9" width="24.33203125" style="8" customWidth="1"/>
    <col min="10" max="10" width="28.44140625" style="8" customWidth="1"/>
    <col min="11" max="12" width="19.5546875" style="8" customWidth="1"/>
    <col min="13" max="13" width="25.6640625" style="8" customWidth="1"/>
    <col min="14" max="14" width="24.44140625" style="8" bestFit="1" customWidth="1"/>
    <col min="15" max="15" width="24.44140625" style="8" customWidth="1"/>
    <col min="16" max="16" width="31.5546875" style="8" customWidth="1"/>
    <col min="17" max="18" width="21.88671875" style="8" customWidth="1"/>
    <col min="19" max="19" width="23.5546875" style="8" customWidth="1"/>
    <col min="20" max="20" width="31.88671875" style="8" customWidth="1"/>
    <col min="21" max="21" width="27.6640625" style="8" customWidth="1"/>
    <col min="22" max="22" width="25.44140625" style="8" customWidth="1"/>
    <col min="23" max="23" width="25" style="8" customWidth="1"/>
    <col min="24" max="26" width="29.44140625" style="8" customWidth="1"/>
    <col min="27" max="27" width="26.33203125" style="8" customWidth="1"/>
    <col min="28" max="28" width="25.109375" style="8" customWidth="1"/>
    <col min="29" max="29" width="19.109375" style="8" customWidth="1"/>
    <col min="30" max="16384" width="9.109375" style="8" hidden="1"/>
  </cols>
  <sheetData>
    <row r="1" spans="1:33" ht="18.600000000000001" thickBot="1" x14ac:dyDescent="0.35"/>
    <row r="2" spans="1:33" ht="39.9" customHeight="1" thickBot="1" x14ac:dyDescent="0.35">
      <c r="E2" s="858" t="s">
        <v>139</v>
      </c>
      <c r="F2" s="859"/>
      <c r="G2" s="100">
        <f>SUM(G9:G9999)</f>
        <v>0</v>
      </c>
      <c r="H2" s="15"/>
      <c r="O2" s="858" t="s">
        <v>24</v>
      </c>
      <c r="P2" s="859"/>
      <c r="Q2" s="98">
        <f>SUM(Q9:Q9999)</f>
        <v>0</v>
      </c>
      <c r="T2" s="683" t="s">
        <v>137</v>
      </c>
      <c r="U2" s="685"/>
      <c r="V2" s="87">
        <f>SUM(V9:V9999)</f>
        <v>0</v>
      </c>
      <c r="X2" s="86"/>
      <c r="Y2" s="683" t="s">
        <v>45</v>
      </c>
      <c r="Z2" s="684"/>
      <c r="AA2" s="685"/>
      <c r="AB2" s="88">
        <f>SUM(AB9:AB9999)</f>
        <v>0</v>
      </c>
    </row>
    <row r="4" spans="1:33" ht="39.9" customHeight="1" x14ac:dyDescent="0.3">
      <c r="P4" s="1077"/>
      <c r="Q4" s="1077"/>
      <c r="R4" s="1077"/>
      <c r="T4" s="102"/>
      <c r="U4" s="102"/>
    </row>
    <row r="6" spans="1:33" ht="126" x14ac:dyDescent="0.3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7" t="s">
        <v>40</v>
      </c>
      <c r="Y6" s="17" t="s">
        <v>103</v>
      </c>
      <c r="Z6" s="17" t="s">
        <v>104</v>
      </c>
      <c r="AA6" s="17" t="s">
        <v>41</v>
      </c>
      <c r="AB6" s="1" t="s">
        <v>43</v>
      </c>
      <c r="AC6" s="1" t="s">
        <v>42</v>
      </c>
      <c r="AD6" s="16"/>
      <c r="AE6" s="16"/>
      <c r="AF6" s="16"/>
      <c r="AG6" s="16"/>
    </row>
    <row r="7" spans="1:33" x14ac:dyDescent="0.3">
      <c r="A7" s="94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  <c r="R7" s="94">
        <v>18</v>
      </c>
      <c r="S7" s="94">
        <v>19</v>
      </c>
      <c r="T7" s="94">
        <v>20</v>
      </c>
      <c r="U7" s="94">
        <v>21</v>
      </c>
      <c r="V7" s="94">
        <v>22</v>
      </c>
      <c r="W7" s="94">
        <v>23</v>
      </c>
      <c r="X7" s="94">
        <v>24</v>
      </c>
      <c r="Y7" s="94">
        <v>25</v>
      </c>
      <c r="Z7" s="94">
        <v>26</v>
      </c>
      <c r="AA7" s="94">
        <v>27</v>
      </c>
      <c r="AB7" s="94">
        <v>28</v>
      </c>
      <c r="AC7" s="94">
        <v>29</v>
      </c>
      <c r="AD7" s="16"/>
      <c r="AE7" s="16"/>
      <c r="AF7" s="16"/>
      <c r="AG7" s="16"/>
    </row>
    <row r="8" spans="1:33" s="2" customFormat="1" ht="162" x14ac:dyDescent="0.3">
      <c r="A8" s="26" t="s">
        <v>36</v>
      </c>
      <c r="B8" s="26"/>
      <c r="C8" s="26" t="s">
        <v>73</v>
      </c>
      <c r="D8" s="26" t="s">
        <v>74</v>
      </c>
      <c r="E8" s="26" t="s">
        <v>71</v>
      </c>
      <c r="F8" s="26" t="s">
        <v>72</v>
      </c>
      <c r="G8" s="24">
        <v>15500.01</v>
      </c>
      <c r="H8" s="24">
        <f t="shared" ref="H8" si="0">G8-Q8</f>
        <v>6725</v>
      </c>
      <c r="I8" s="37">
        <v>6</v>
      </c>
      <c r="J8" s="37">
        <v>0</v>
      </c>
      <c r="K8" s="26" t="s">
        <v>75</v>
      </c>
      <c r="L8" s="26" t="s">
        <v>76</v>
      </c>
      <c r="M8" s="26" t="s">
        <v>77</v>
      </c>
      <c r="N8" s="25">
        <v>43655</v>
      </c>
      <c r="O8" s="25" t="s">
        <v>79</v>
      </c>
      <c r="P8" s="26" t="s">
        <v>78</v>
      </c>
      <c r="Q8" s="24">
        <v>8775.01</v>
      </c>
      <c r="R8" s="24">
        <f>Q8-V8</f>
        <v>0</v>
      </c>
      <c r="S8" s="26" t="s">
        <v>80</v>
      </c>
      <c r="T8" s="25">
        <v>43677</v>
      </c>
      <c r="U8" s="26" t="s">
        <v>81</v>
      </c>
      <c r="V8" s="24">
        <v>8775.01</v>
      </c>
      <c r="W8" s="25">
        <v>43696</v>
      </c>
      <c r="X8" s="26"/>
      <c r="Y8" s="72"/>
      <c r="Z8" s="72"/>
      <c r="AA8" s="26"/>
      <c r="AB8" s="24"/>
      <c r="AC8" s="13" t="s">
        <v>64</v>
      </c>
    </row>
    <row r="9" spans="1:33" hidden="1" x14ac:dyDescent="0.3">
      <c r="M9" s="3"/>
      <c r="AD9" s="8">
        <v>2</v>
      </c>
    </row>
    <row r="10" spans="1:33" hidden="1" x14ac:dyDescent="0.3">
      <c r="M10" s="3"/>
    </row>
    <row r="11" spans="1:33" hidden="1" x14ac:dyDescent="0.3">
      <c r="M11" s="3"/>
    </row>
    <row r="12" spans="1:33" hidden="1" x14ac:dyDescent="0.3">
      <c r="M12" s="3"/>
    </row>
    <row r="13" spans="1:33" hidden="1" x14ac:dyDescent="0.3">
      <c r="M13" s="3"/>
    </row>
    <row r="14" spans="1:33" hidden="1" x14ac:dyDescent="0.3">
      <c r="M14" s="3"/>
    </row>
    <row r="15" spans="1:33" hidden="1" x14ac:dyDescent="0.3">
      <c r="M15" s="3"/>
    </row>
    <row r="16" spans="1:33" hidden="1" x14ac:dyDescent="0.3">
      <c r="M16" s="3"/>
    </row>
    <row r="17" spans="13:13" hidden="1" x14ac:dyDescent="0.3">
      <c r="M17" s="3"/>
    </row>
  </sheetData>
  <sheetProtection password="EB34" sheet="1" objects="1" scenarios="1" formatCells="0" formatColumns="0" formatRows="0"/>
  <mergeCells count="5">
    <mergeCell ref="P4:R4"/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09375" defaultRowHeight="15.6" x14ac:dyDescent="0.3"/>
  <cols>
    <col min="1" max="1" width="15.33203125" style="52" customWidth="1"/>
    <col min="2" max="2" width="17.44140625" style="50" customWidth="1"/>
    <col min="3" max="3" width="17.33203125" style="50" customWidth="1"/>
    <col min="4" max="4" width="38.88671875" style="50" customWidth="1"/>
    <col min="5" max="5" width="15.5546875" style="50" bestFit="1" customWidth="1"/>
    <col min="6" max="11" width="16.109375" style="50" customWidth="1"/>
    <col min="12" max="16384" width="9.109375" style="50"/>
  </cols>
  <sheetData>
    <row r="1" spans="1:11" x14ac:dyDescent="0.3">
      <c r="A1" s="65">
        <v>116</v>
      </c>
      <c r="B1" s="65">
        <v>62</v>
      </c>
      <c r="C1" s="65">
        <v>9</v>
      </c>
      <c r="D1" s="1080" t="s">
        <v>50</v>
      </c>
      <c r="E1" s="48"/>
      <c r="F1" s="80" t="s">
        <v>108</v>
      </c>
      <c r="G1" s="84" t="s">
        <v>108</v>
      </c>
      <c r="H1" s="83" t="s">
        <v>108</v>
      </c>
      <c r="I1" s="82" t="s">
        <v>108</v>
      </c>
      <c r="J1" s="81" t="s">
        <v>108</v>
      </c>
      <c r="K1" s="85" t="s">
        <v>108</v>
      </c>
    </row>
    <row r="2" spans="1:11" x14ac:dyDescent="0.3">
      <c r="A2" s="66" t="s">
        <v>84</v>
      </c>
      <c r="B2" s="65" t="s">
        <v>85</v>
      </c>
      <c r="C2" s="65" t="s">
        <v>86</v>
      </c>
      <c r="D2" s="1081"/>
      <c r="E2" s="48"/>
      <c r="F2" s="80">
        <v>88</v>
      </c>
      <c r="G2" s="84">
        <v>70</v>
      </c>
      <c r="H2" s="83">
        <v>2</v>
      </c>
      <c r="I2" s="82">
        <v>3</v>
      </c>
      <c r="J2" s="81">
        <v>2</v>
      </c>
      <c r="K2" s="85">
        <v>1</v>
      </c>
    </row>
    <row r="3" spans="1:11" x14ac:dyDescent="0.3">
      <c r="A3" s="51"/>
      <c r="B3" s="47"/>
      <c r="C3" s="47"/>
      <c r="D3" s="47"/>
      <c r="E3" s="48"/>
      <c r="F3" s="80" t="s">
        <v>109</v>
      </c>
      <c r="G3" s="84" t="s">
        <v>109</v>
      </c>
      <c r="H3" s="83" t="s">
        <v>109</v>
      </c>
      <c r="I3" s="82" t="s">
        <v>109</v>
      </c>
      <c r="J3" s="81" t="s">
        <v>109</v>
      </c>
      <c r="K3" s="85" t="s">
        <v>109</v>
      </c>
    </row>
    <row r="4" spans="1:11" x14ac:dyDescent="0.3">
      <c r="A4" s="61">
        <v>304</v>
      </c>
      <c r="B4" s="62">
        <v>53</v>
      </c>
      <c r="C4" s="62">
        <v>9</v>
      </c>
      <c r="D4" s="1082" t="s">
        <v>102</v>
      </c>
      <c r="E4" s="48"/>
      <c r="F4" s="80">
        <v>89</v>
      </c>
      <c r="G4" s="84">
        <v>71</v>
      </c>
      <c r="H4" s="83">
        <v>3</v>
      </c>
      <c r="I4" s="82">
        <v>4</v>
      </c>
      <c r="J4" s="81">
        <v>3</v>
      </c>
      <c r="K4" s="85">
        <v>2</v>
      </c>
    </row>
    <row r="5" spans="1:11" x14ac:dyDescent="0.3">
      <c r="A5" s="61" t="s">
        <v>89</v>
      </c>
      <c r="B5" s="62" t="s">
        <v>88</v>
      </c>
      <c r="C5" s="62" t="s">
        <v>87</v>
      </c>
      <c r="D5" s="1083"/>
      <c r="E5" s="48"/>
      <c r="F5" s="48"/>
      <c r="G5" s="48"/>
      <c r="H5" s="49"/>
      <c r="I5" s="49"/>
      <c r="J5" s="49"/>
    </row>
    <row r="6" spans="1:11" x14ac:dyDescent="0.3">
      <c r="A6" s="51"/>
      <c r="B6" s="47"/>
      <c r="C6" s="47"/>
      <c r="D6" s="47"/>
      <c r="E6" s="48"/>
      <c r="F6" s="48"/>
      <c r="G6" s="48"/>
      <c r="H6" s="49"/>
      <c r="I6" s="49"/>
      <c r="J6" s="49"/>
    </row>
    <row r="7" spans="1:11" x14ac:dyDescent="0.3">
      <c r="A7" s="63">
        <v>16</v>
      </c>
      <c r="B7" s="64">
        <v>2</v>
      </c>
      <c r="C7" s="64">
        <v>9</v>
      </c>
      <c r="D7" s="1084" t="s">
        <v>52</v>
      </c>
      <c r="E7" s="48"/>
      <c r="F7" s="48"/>
      <c r="G7" s="48"/>
      <c r="H7" s="49"/>
      <c r="I7" s="49"/>
      <c r="J7" s="49"/>
    </row>
    <row r="8" spans="1:11" x14ac:dyDescent="0.3">
      <c r="A8" s="63" t="s">
        <v>90</v>
      </c>
      <c r="B8" s="64" t="s">
        <v>91</v>
      </c>
      <c r="C8" s="64" t="s">
        <v>92</v>
      </c>
      <c r="D8" s="1085"/>
      <c r="E8" s="48"/>
      <c r="F8" s="48"/>
      <c r="G8" s="48"/>
      <c r="H8" s="49"/>
      <c r="I8" s="49"/>
      <c r="J8" s="49"/>
    </row>
    <row r="9" spans="1:11" x14ac:dyDescent="0.3">
      <c r="A9" s="51"/>
      <c r="B9" s="47"/>
      <c r="C9" s="47"/>
      <c r="D9" s="47"/>
      <c r="E9" s="47"/>
      <c r="F9" s="47"/>
      <c r="G9" s="47"/>
    </row>
    <row r="10" spans="1:11" x14ac:dyDescent="0.3">
      <c r="A10" s="59">
        <v>36</v>
      </c>
      <c r="B10" s="60">
        <v>3</v>
      </c>
      <c r="C10" s="60">
        <v>9</v>
      </c>
      <c r="D10" s="1086" t="s">
        <v>31</v>
      </c>
      <c r="E10" s="47"/>
      <c r="F10" s="47"/>
      <c r="G10" s="47"/>
    </row>
    <row r="11" spans="1:11" x14ac:dyDescent="0.3">
      <c r="A11" s="59" t="s">
        <v>93</v>
      </c>
      <c r="B11" s="60" t="s">
        <v>94</v>
      </c>
      <c r="C11" s="60" t="s">
        <v>95</v>
      </c>
      <c r="D11" s="1087"/>
      <c r="E11" s="47"/>
      <c r="F11" s="47"/>
      <c r="G11" s="47"/>
    </row>
    <row r="12" spans="1:11" x14ac:dyDescent="0.3">
      <c r="A12" s="51"/>
      <c r="B12" s="47"/>
      <c r="C12" s="47"/>
      <c r="D12" s="47"/>
      <c r="E12" s="47"/>
      <c r="F12" s="47"/>
      <c r="G12" s="47"/>
    </row>
    <row r="13" spans="1:11" x14ac:dyDescent="0.3">
      <c r="A13" s="57">
        <v>32</v>
      </c>
      <c r="B13" s="58">
        <v>2</v>
      </c>
      <c r="C13" s="58">
        <v>9</v>
      </c>
      <c r="D13" s="1088" t="s">
        <v>49</v>
      </c>
      <c r="E13" s="47"/>
      <c r="F13" s="47"/>
      <c r="G13" s="47"/>
    </row>
    <row r="14" spans="1:11" x14ac:dyDescent="0.3">
      <c r="A14" s="57" t="s">
        <v>96</v>
      </c>
      <c r="B14" s="58" t="s">
        <v>97</v>
      </c>
      <c r="C14" s="58" t="s">
        <v>98</v>
      </c>
      <c r="D14" s="1089"/>
      <c r="E14" s="47"/>
      <c r="F14" s="47"/>
      <c r="G14" s="47"/>
    </row>
    <row r="15" spans="1:11" x14ac:dyDescent="0.3">
      <c r="A15" s="51"/>
      <c r="B15" s="47"/>
      <c r="C15" s="47"/>
      <c r="D15" s="47"/>
      <c r="E15" s="47"/>
      <c r="F15" s="47"/>
      <c r="G15" s="47"/>
    </row>
    <row r="16" spans="1:11" x14ac:dyDescent="0.3">
      <c r="A16" s="55">
        <v>8</v>
      </c>
      <c r="B16" s="56">
        <v>0</v>
      </c>
      <c r="C16" s="56">
        <v>9</v>
      </c>
      <c r="D16" s="1078" t="s">
        <v>83</v>
      </c>
      <c r="E16" s="47"/>
      <c r="F16" s="47"/>
      <c r="G16" s="47"/>
    </row>
    <row r="17" spans="1:4" x14ac:dyDescent="0.3">
      <c r="A17" s="55" t="s">
        <v>99</v>
      </c>
      <c r="B17" s="56" t="s">
        <v>100</v>
      </c>
      <c r="C17" s="56" t="s">
        <v>101</v>
      </c>
      <c r="D17" s="1079"/>
    </row>
    <row r="18" spans="1:4" x14ac:dyDescent="0.3">
      <c r="A18" s="51"/>
    </row>
    <row r="19" spans="1:4" x14ac:dyDescent="0.3">
      <c r="A19" s="51"/>
    </row>
    <row r="20" spans="1:4" x14ac:dyDescent="0.3">
      <c r="A20" s="51"/>
    </row>
    <row r="21" spans="1:4" x14ac:dyDescent="0.3">
      <c r="A21" s="51"/>
    </row>
    <row r="22" spans="1:4" x14ac:dyDescent="0.3">
      <c r="A22" s="51"/>
    </row>
    <row r="23" spans="1:4" x14ac:dyDescent="0.3">
      <c r="A23" s="51"/>
    </row>
    <row r="24" spans="1:4" x14ac:dyDescent="0.3">
      <c r="A24" s="51"/>
    </row>
    <row r="25" spans="1:4" x14ac:dyDescent="0.3">
      <c r="A25" s="51"/>
    </row>
    <row r="26" spans="1:4" x14ac:dyDescent="0.3">
      <c r="A26" s="51"/>
    </row>
    <row r="27" spans="1:4" x14ac:dyDescent="0.3">
      <c r="A27" s="51"/>
    </row>
    <row r="28" spans="1:4" x14ac:dyDescent="0.3">
      <c r="A28" s="51"/>
    </row>
    <row r="29" spans="1:4" x14ac:dyDescent="0.3">
      <c r="A29" s="51"/>
    </row>
    <row r="30" spans="1:4" x14ac:dyDescent="0.3">
      <c r="A30" s="51"/>
    </row>
    <row r="31" spans="1:4" x14ac:dyDescent="0.3">
      <c r="A31" s="51"/>
    </row>
    <row r="32" spans="1:4" x14ac:dyDescent="0.3">
      <c r="A32" s="51"/>
    </row>
    <row r="33" spans="1:1" x14ac:dyDescent="0.3">
      <c r="A33" s="51"/>
    </row>
    <row r="34" spans="1:1" x14ac:dyDescent="0.3">
      <c r="A34" s="51"/>
    </row>
    <row r="35" spans="1:1" x14ac:dyDescent="0.3">
      <c r="A35" s="51"/>
    </row>
    <row r="36" spans="1:1" x14ac:dyDescent="0.3">
      <c r="A36" s="51"/>
    </row>
    <row r="37" spans="1:1" x14ac:dyDescent="0.3">
      <c r="A37" s="51"/>
    </row>
    <row r="38" spans="1:1" x14ac:dyDescent="0.3">
      <c r="A38" s="51"/>
    </row>
    <row r="39" spans="1:1" x14ac:dyDescent="0.3">
      <c r="A39" s="51"/>
    </row>
    <row r="40" spans="1:1" x14ac:dyDescent="0.3">
      <c r="A40" s="51"/>
    </row>
    <row r="41" spans="1:1" x14ac:dyDescent="0.3">
      <c r="A41" s="51"/>
    </row>
    <row r="42" spans="1:1" x14ac:dyDescent="0.3">
      <c r="A42" s="51"/>
    </row>
    <row r="43" spans="1:1" x14ac:dyDescent="0.3">
      <c r="A43" s="51"/>
    </row>
    <row r="44" spans="1:1" x14ac:dyDescent="0.3">
      <c r="A44" s="51"/>
    </row>
    <row r="45" spans="1:1" x14ac:dyDescent="0.3">
      <c r="A45" s="51"/>
    </row>
    <row r="81" spans="1:1" x14ac:dyDescent="0.3">
      <c r="A81" s="53"/>
    </row>
    <row r="82" spans="1:1" x14ac:dyDescent="0.3">
      <c r="A82" s="53"/>
    </row>
    <row r="83" spans="1:1" x14ac:dyDescent="0.3">
      <c r="A83" s="54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Владелец</cp:lastModifiedBy>
  <cp:lastPrinted>2019-09-24T06:31:40Z</cp:lastPrinted>
  <dcterms:created xsi:type="dcterms:W3CDTF">2017-01-25T04:28:39Z</dcterms:created>
  <dcterms:modified xsi:type="dcterms:W3CDTF">2025-01-21T05:30:34Z</dcterms:modified>
</cp:coreProperties>
</file>