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Владелец\Downloads\"/>
    </mc:Choice>
  </mc:AlternateContent>
  <workbookProtection workbookPassword="EB34" lockStructure="1"/>
  <bookViews>
    <workbookView xWindow="0" yWindow="0" windowWidth="23040" windowHeight="8616" tabRatio="603"/>
  </bookViews>
  <sheets>
    <sheet name="Общая информация" sheetId="21" r:id="rId1"/>
    <sheet name="Ед. поставщик п.4 ч.1" sheetId="27" r:id="rId2"/>
    <sheet name="Ед. поставщик п.5 ч.1" sheetId="31" r:id="rId3"/>
    <sheet name="Ед.поставщик за искл. п.4,5 ч.1" sheetId="19" r:id="rId4"/>
    <sheet name="Состоявшиеся аукционы" sheetId="17" r:id="rId5"/>
    <sheet name="Несостоявшиеся аукционы" sheetId="22" r:id="rId6"/>
    <sheet name="Иные конкурентные закупки" sheetId="20" r:id="rId7"/>
    <sheet name="Настройки" sheetId="32" state="hidden" r:id="rId8"/>
  </sheets>
  <definedNames>
    <definedName name="_xlnm._FilterDatabase" localSheetId="1" hidden="1">'Ед. поставщик п.4 ч.1'!$A$6:$U$8</definedName>
  </definedNames>
  <calcPr calcId="162913"/>
</workbook>
</file>

<file path=xl/calcChain.xml><?xml version="1.0" encoding="utf-8"?>
<calcChain xmlns="http://schemas.openxmlformats.org/spreadsheetml/2006/main">
  <c r="M5" i="21" l="1"/>
  <c r="H5" i="21"/>
  <c r="G2" i="19"/>
  <c r="N2" i="19"/>
  <c r="T2" i="19"/>
  <c r="H2" i="27"/>
  <c r="P2" i="27"/>
  <c r="V2" i="27"/>
  <c r="H2" i="31"/>
  <c r="P2" i="31"/>
  <c r="V2" i="31"/>
  <c r="I163" i="31"/>
  <c r="I147" i="31"/>
  <c r="H9" i="19"/>
  <c r="H18" i="20"/>
  <c r="R18" i="20"/>
  <c r="G2" i="20"/>
  <c r="Q2" i="20"/>
  <c r="V2" i="20"/>
  <c r="AB2" i="20"/>
  <c r="G2" i="22"/>
  <c r="Q2" i="22"/>
  <c r="V2" i="22"/>
  <c r="AB2" i="22"/>
  <c r="H9" i="17"/>
  <c r="R9" i="17"/>
  <c r="G2" i="17"/>
  <c r="Q2" i="17"/>
  <c r="V2" i="17"/>
  <c r="AB2" i="17"/>
  <c r="I12" i="31"/>
  <c r="I41" i="27"/>
  <c r="I31" i="27"/>
  <c r="I61" i="27"/>
  <c r="I22" i="31"/>
  <c r="I47" i="31"/>
  <c r="I21" i="27"/>
  <c r="I47" i="27"/>
  <c r="I12" i="27"/>
  <c r="I166" i="31" l="1"/>
  <c r="I155" i="27"/>
  <c r="I154" i="27"/>
  <c r="I153" i="27"/>
  <c r="I152" i="27"/>
  <c r="I151" i="27"/>
  <c r="I150" i="27"/>
  <c r="I149" i="27"/>
  <c r="I159" i="31" l="1"/>
  <c r="I145" i="31"/>
  <c r="I122" i="27"/>
  <c r="I100" i="27"/>
  <c r="I132" i="27"/>
  <c r="H9" i="20"/>
  <c r="R9" i="20"/>
  <c r="I57" i="27"/>
  <c r="I135" i="27"/>
  <c r="I9" i="27"/>
  <c r="I162" i="31" l="1"/>
  <c r="I161" i="31"/>
  <c r="I158" i="31"/>
  <c r="I148" i="27"/>
  <c r="I157" i="31"/>
  <c r="I147" i="27"/>
  <c r="I146" i="27"/>
  <c r="I145" i="27"/>
  <c r="I144" i="27"/>
  <c r="I143" i="27"/>
  <c r="I156" i="31"/>
  <c r="I142" i="27"/>
  <c r="I141" i="27" l="1"/>
  <c r="I140" i="27"/>
  <c r="I139" i="27"/>
  <c r="I138" i="27"/>
  <c r="I137" i="27" l="1"/>
  <c r="I134" i="27"/>
  <c r="I131" i="27"/>
  <c r="I130" i="27"/>
  <c r="I129" i="27"/>
  <c r="H17" i="19"/>
  <c r="I118" i="27" l="1"/>
  <c r="I130" i="31"/>
  <c r="I128" i="27" l="1"/>
  <c r="I127" i="27"/>
  <c r="I126" i="27"/>
  <c r="I144" i="31"/>
  <c r="I125" i="27" l="1"/>
  <c r="I121" i="27" l="1"/>
  <c r="I141" i="31"/>
  <c r="I114" i="27"/>
  <c r="I73" i="31"/>
  <c r="I135" i="31"/>
  <c r="I137" i="31"/>
  <c r="H9" i="22"/>
  <c r="R9" i="22"/>
  <c r="H20" i="19" l="1"/>
  <c r="I143" i="31"/>
  <c r="I120" i="27"/>
  <c r="I117" i="27"/>
  <c r="I116" i="27" l="1"/>
  <c r="I113" i="27"/>
  <c r="I140" i="31"/>
  <c r="I139" i="31"/>
  <c r="I112" i="27" l="1"/>
  <c r="I111" i="27"/>
  <c r="I134" i="31"/>
  <c r="I94" i="31"/>
  <c r="I124" i="31" l="1"/>
  <c r="I9" i="31"/>
  <c r="I107" i="31"/>
  <c r="I90" i="31"/>
  <c r="I87" i="31"/>
  <c r="I119" i="31"/>
  <c r="I96" i="27"/>
  <c r="I83" i="31"/>
  <c r="I133" i="31" l="1"/>
  <c r="I110" i="27"/>
  <c r="I109" i="27"/>
  <c r="I108" i="27"/>
  <c r="I129" i="31"/>
  <c r="I128" i="31"/>
  <c r="I127" i="31"/>
  <c r="I107" i="27"/>
  <c r="I106" i="27"/>
  <c r="I126" i="31"/>
  <c r="I105" i="27"/>
  <c r="I104" i="27"/>
  <c r="I123" i="31" l="1"/>
  <c r="I122" i="31"/>
  <c r="I98" i="27"/>
  <c r="I95" i="27"/>
  <c r="I116" i="31"/>
  <c r="I113" i="31"/>
  <c r="I94" i="27"/>
  <c r="I106" i="31" l="1"/>
  <c r="I93" i="27"/>
  <c r="I92" i="27"/>
  <c r="I91" i="27"/>
  <c r="I60" i="27"/>
  <c r="I72" i="31"/>
  <c r="I67" i="31"/>
  <c r="I57" i="31"/>
  <c r="I17" i="27" l="1"/>
  <c r="D13" i="21" l="1"/>
  <c r="R8" i="20" l="1"/>
  <c r="H8" i="20"/>
  <c r="R8" i="22"/>
  <c r="H8" i="22"/>
  <c r="I8" i="27" l="1"/>
  <c r="J9" i="21" l="1"/>
  <c r="J13" i="21"/>
  <c r="G13" i="21" l="1"/>
  <c r="J14" i="21"/>
  <c r="D14" i="21"/>
  <c r="G14" i="21" s="1"/>
  <c r="M4" i="21" s="1"/>
  <c r="D12" i="21"/>
  <c r="J12" i="21"/>
  <c r="D19" i="21"/>
  <c r="G12" i="21" l="1"/>
  <c r="M13" i="21"/>
  <c r="M14" i="21"/>
  <c r="J11" i="21"/>
  <c r="J10" i="21"/>
  <c r="J15" i="21" l="1"/>
  <c r="D10" i="21"/>
  <c r="R8" i="17" l="1"/>
  <c r="H8" i="17"/>
  <c r="D9" i="21" l="1"/>
  <c r="G10" i="21" l="1"/>
  <c r="G11" i="21" l="1"/>
  <c r="D11" i="21"/>
  <c r="D15" i="21" s="1"/>
  <c r="G9" i="21"/>
  <c r="G15" i="21" l="1"/>
  <c r="C5" i="21" s="1"/>
  <c r="M12" i="21"/>
  <c r="M11" i="21"/>
  <c r="M9" i="21"/>
  <c r="M10" i="21"/>
  <c r="M15" i="21" l="1"/>
</calcChain>
</file>

<file path=xl/sharedStrings.xml><?xml version="1.0" encoding="utf-8"?>
<sst xmlns="http://schemas.openxmlformats.org/spreadsheetml/2006/main" count="1376" uniqueCount="424">
  <si>
    <t>Дата заключения</t>
  </si>
  <si>
    <t>№ договора/контракта</t>
  </si>
  <si>
    <t>Дата заключения договора/контракта</t>
  </si>
  <si>
    <t>Предмет договора/контракта</t>
  </si>
  <si>
    <t>Цена договора/контракта</t>
  </si>
  <si>
    <t>Поставщик (подрядчик, исполнитель)</t>
  </si>
  <si>
    <t>Сроки оплаты согласно договора/контракта</t>
  </si>
  <si>
    <t>Фактическая дата поставки товара (оказания услуги, выполнения работы)</t>
  </si>
  <si>
    <t>№ п/п</t>
  </si>
  <si>
    <t>Фактическая дата оплаты</t>
  </si>
  <si>
    <t>Код бюджетной классификации</t>
  </si>
  <si>
    <t>№ извещения</t>
  </si>
  <si>
    <t>Объект закупки</t>
  </si>
  <si>
    <t>Н(М)ЦК</t>
  </si>
  <si>
    <t>СМП и СОНО</t>
  </si>
  <si>
    <t>№ контракта</t>
  </si>
  <si>
    <t>Количество поданных заявок</t>
  </si>
  <si>
    <t>Количество заявок признанные несоответствующими</t>
  </si>
  <si>
    <t>Цена контракта</t>
  </si>
  <si>
    <t>Сроки поставки товара (оказания услуги, выполнения работы), согласно контракта</t>
  </si>
  <si>
    <t>Сроки оплаты согласно контракта</t>
  </si>
  <si>
    <t xml:space="preserve">№ в реестре контрактов </t>
  </si>
  <si>
    <t>Остаток по контракту</t>
  </si>
  <si>
    <t>Сумма согласно документа об исполнении контракта заказчиком</t>
  </si>
  <si>
    <t>Сумма заключенных контрактов</t>
  </si>
  <si>
    <t>СГОЗ  (общий)</t>
  </si>
  <si>
    <t>СГОЗ (остаток)</t>
  </si>
  <si>
    <t>Способ определения поставщика (подрядчика, исполнителя)</t>
  </si>
  <si>
    <t>Начальная (максимальная) цена контракта</t>
  </si>
  <si>
    <t>Фактическая цена контракта</t>
  </si>
  <si>
    <t xml:space="preserve">Экономия </t>
  </si>
  <si>
    <t>Состоявшиеся аукционы</t>
  </si>
  <si>
    <t>№ в реестре контрактов</t>
  </si>
  <si>
    <t>ИКЗ (Идентификационный код закупки)</t>
  </si>
  <si>
    <t>Экономия</t>
  </si>
  <si>
    <t>Всего средств потрачено по заключенным контрактам</t>
  </si>
  <si>
    <t>1</t>
  </si>
  <si>
    <t>Фактическая дата поставки товара (оказания услуги, выполнения работы) и (или) предоставление документов на оплату и подписание документов о приемке</t>
  </si>
  <si>
    <t>Цена контракта (Объем финансового обеспечения подлежащий к оплате в текущем фин. году)</t>
  </si>
  <si>
    <t>Сроки поставки товара (оказания услуги, выполнения работы), согласно контракта; Предоставление документов на оплату Закзчику</t>
  </si>
  <si>
    <t>Изменение контракта (№, дата)</t>
  </si>
  <si>
    <t>Расторжение контракта (№, дата)</t>
  </si>
  <si>
    <t>Примечание</t>
  </si>
  <si>
    <t>Сумма расторжения</t>
  </si>
  <si>
    <t>Сроки поставки товара (оказания услуги, выполнения работы), согласно договора/контракта; Предоставление документов на оплату Заказчику</t>
  </si>
  <si>
    <t>Общая сумма расторжений по контрактам/договорам</t>
  </si>
  <si>
    <t xml:space="preserve">ИНН поставщика (подрядчика, исполнителя) </t>
  </si>
  <si>
    <t>Наименование муниципальной программы, национального или регионального проекта</t>
  </si>
  <si>
    <t>123</t>
  </si>
  <si>
    <t>Несостоявшиеся аукционы</t>
  </si>
  <si>
    <t xml:space="preserve">Ед. поставщик п.4 ч.1 </t>
  </si>
  <si>
    <t>Ед. поставщик п. 5 ч. 1</t>
  </si>
  <si>
    <t>Ед.поставщик за искл. п.4,5 ч.1</t>
  </si>
  <si>
    <t>п.4 (остаток)</t>
  </si>
  <si>
    <t>п.5 (остаток)</t>
  </si>
  <si>
    <t>п.5 (50% СГОЗ)</t>
  </si>
  <si>
    <t>Муниципальная программа "Развитие образования"</t>
  </si>
  <si>
    <t>№ 1</t>
  </si>
  <si>
    <t>902 0113 1310110490 244</t>
  </si>
  <si>
    <t>Поставка бумаги для офисной техники</t>
  </si>
  <si>
    <t>2353019514</t>
  </si>
  <si>
    <t>ИП Котляров К.И.</t>
  </si>
  <si>
    <t>В течение 15 рабочих дней, со дня подписания сторонами контракта</t>
  </si>
  <si>
    <t>Не позднее 30 календарных дней с момента подписания Заказчиком и Подрядчиком акта приема-сдачи и предоставленного Подрядчиком документа на оплату</t>
  </si>
  <si>
    <t>Пример</t>
  </si>
  <si>
    <t>Поставка электрической энергии</t>
  </si>
  <si>
    <t>9020104 5210000190244</t>
  </si>
  <si>
    <t>3235301125818100175</t>
  </si>
  <si>
    <t>АО "НЭСК"</t>
  </si>
  <si>
    <t>Поставка электрической энергии осуществляется постоянно, в течение срока действия контракта</t>
  </si>
  <si>
    <t>До 10 числа расчетного месяца в размере 30%, до 25 числа расчетного месяца 40%, до 18 числа месяца, следующего за расчетным</t>
  </si>
  <si>
    <t>0818300019919000194</t>
  </si>
  <si>
    <t xml:space="preserve">Поставка картриджа и тонер-картриджей </t>
  </si>
  <si>
    <t xml:space="preserve">193235301125823530100103000010000244 </t>
  </si>
  <si>
    <t>902 0113 1210310010 244</t>
  </si>
  <si>
    <t>Нет</t>
  </si>
  <si>
    <t>3235301125819000079</t>
  </si>
  <si>
    <t>Ф.2019.412162</t>
  </si>
  <si>
    <t xml:space="preserve"> ООО "АНАЛИТИК ЦЕНТР" </t>
  </si>
  <si>
    <t>3443923035</t>
  </si>
  <si>
    <t>В течение 20 рабочих дней со дня заключения сторонами муниципального контракта</t>
  </si>
  <si>
    <t>Не позднее 30 календарных дней с момента подписания Заказчиком документа о приемке выполненных работ и представленного Подрядчиком документа на оплату</t>
  </si>
  <si>
    <t>СМП и СОНО                       (да/нет)</t>
  </si>
  <si>
    <t>Иные конкурентные закупки</t>
  </si>
  <si>
    <t>TekStrokaP4</t>
  </si>
  <si>
    <t>TekNomerP4</t>
  </si>
  <si>
    <t>NachStrokaP4</t>
  </si>
  <si>
    <t>NachStrokaP5</t>
  </si>
  <si>
    <t>TekNomerP5</t>
  </si>
  <si>
    <t>TekStrokaP5</t>
  </si>
  <si>
    <t>TekStrokaSt93</t>
  </si>
  <si>
    <t>TekNomerSt93</t>
  </si>
  <si>
    <t>NachStrokaSt93</t>
  </si>
  <si>
    <t>TekStrokaSEA</t>
  </si>
  <si>
    <t>TekNomerSEA</t>
  </si>
  <si>
    <t>NachStrokaSEA</t>
  </si>
  <si>
    <t>TekStrokaNEA</t>
  </si>
  <si>
    <t>TekNomerNEA</t>
  </si>
  <si>
    <t>NachStrokaNEA</t>
  </si>
  <si>
    <t>TekStrokaIKZ</t>
  </si>
  <si>
    <t>TekNomerIKZ</t>
  </si>
  <si>
    <t>NachStrokaIKZ</t>
  </si>
  <si>
    <t xml:space="preserve">Ед. поставщик п.5 ч.1 </t>
  </si>
  <si>
    <t>Изменение контракта (увеличение цены контракта в рублях)</t>
  </si>
  <si>
    <t>Изменение контракта (уменьшение цены контракта в рублях)</t>
  </si>
  <si>
    <t>Сумма расторжения в рублях</t>
  </si>
  <si>
    <t>СМП и СОНО                       (Да/Нет)</t>
  </si>
  <si>
    <t>09.01.2020</t>
  </si>
  <si>
    <t>Index</t>
  </si>
  <si>
    <t>Index+1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</si>
  <si>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</si>
  <si>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</si>
  <si>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</si>
  <si>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</si>
  <si>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</si>
  <si>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</si>
  <si>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</si>
  <si>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</si>
  <si>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</si>
  <si>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</si>
  <si>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</si>
  <si>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</si>
  <si>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</si>
  <si>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</si>
  <si>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</si>
  <si>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</si>
  <si>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</si>
  <si>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</si>
  <si>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</si>
  <si>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</si>
  <si>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</si>
  <si>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</si>
  <si>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</si>
  <si>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</si>
  <si>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</si>
  <si>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</si>
  <si>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</si>
  <si>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Сумма средств выплаченных по контрактам</t>
  </si>
  <si>
    <t>29</t>
  </si>
  <si>
    <t>Сумма начальных (максимальных) цен контрактов</t>
  </si>
  <si>
    <t>п.4 (10% от СГОЗ или 2 000 000)</t>
  </si>
  <si>
    <t>Наименование организации:</t>
  </si>
  <si>
    <t>Расторжение контракта по соглашению сторон</t>
  </si>
  <si>
    <t>Всего</t>
  </si>
  <si>
    <t>Не позднее 30 календарных дней с момента подписания акта приема-сдачи и документа на оплату</t>
  </si>
  <si>
    <t>Контракт заключен в электронном виде посредством                             АИС "Портал поставщиков"   (Да/Нет)</t>
  </si>
  <si>
    <t>нет</t>
  </si>
  <si>
    <t>925 0000 0000000000 244</t>
  </si>
  <si>
    <t>Оказание охранных услуг</t>
  </si>
  <si>
    <t>Оказание услуг по обращению с твердыми коммунальными отходами</t>
  </si>
  <si>
    <t>ПАО "ТНС энерго Кубань"</t>
  </si>
  <si>
    <t>ООО "Коммунальник"</t>
  </si>
  <si>
    <t>до 25 числа</t>
  </si>
  <si>
    <t>1401</t>
  </si>
  <si>
    <t>Поставка тепловой энергии</t>
  </si>
  <si>
    <t>АО "АТЭК"</t>
  </si>
  <si>
    <t>Согласно графика</t>
  </si>
  <si>
    <t>ООО "Тимашевское ПРТ Райпо"</t>
  </si>
  <si>
    <t>ООО "КАНкорт"</t>
  </si>
  <si>
    <t>Дератизационные работы</t>
  </si>
  <si>
    <t>2353018870</t>
  </si>
  <si>
    <t>ООО "Дезинфекция"</t>
  </si>
  <si>
    <t>по мере необходимости</t>
  </si>
  <si>
    <t>Работы по сервисному обслуживанию УУТЭ</t>
  </si>
  <si>
    <t>235301271520</t>
  </si>
  <si>
    <t>ИП Дудкин</t>
  </si>
  <si>
    <t>согласно приложения 1</t>
  </si>
  <si>
    <t>235305769122</t>
  </si>
  <si>
    <t>ИП Барма</t>
  </si>
  <si>
    <t>ПАО "Ростелеком"</t>
  </si>
  <si>
    <t>ООО "Альянс Розница"</t>
  </si>
  <si>
    <t>ООО "Сигнал"</t>
  </si>
  <si>
    <t>2353002302</t>
  </si>
  <si>
    <t>№ 39-С</t>
  </si>
  <si>
    <t>ТО установки системы пожарного мониторинга "Стрелец-мониторинг"</t>
  </si>
  <si>
    <t>согласно графика</t>
  </si>
  <si>
    <t>МБОУ СОШ №6</t>
  </si>
  <si>
    <t>ООО ЧОО "Легион"</t>
  </si>
  <si>
    <t>АО "Мусороуборочная компания"</t>
  </si>
  <si>
    <t>да</t>
  </si>
  <si>
    <t>Поставка бензина Аи-92</t>
  </si>
  <si>
    <t>В течение 7 рабочих дней с момента подписания Заказчиком и Подрядчиком акта приема-сдачи и предоставленного Подрядчиком документа на оплату</t>
  </si>
  <si>
    <t>Холодное водоснабжение</t>
  </si>
  <si>
    <t>В течение 1 квартала 2023 г</t>
  </si>
  <si>
    <t>До 25 числа каждого месяца</t>
  </si>
  <si>
    <t>Электроэнергия</t>
  </si>
  <si>
    <t>30 % до 10 числа, 40 % до 25 числа</t>
  </si>
  <si>
    <t>До 10 числа месяца, следующего за отчетным</t>
  </si>
  <si>
    <t>925 0000 0000000000 247</t>
  </si>
  <si>
    <t>Оказание услуг по организации горячего питания обучающихся по образовательным программам начального общего образования в МБОУ СОШ № 6 (1-4 классы)</t>
  </si>
  <si>
    <t>23070500203</t>
  </si>
  <si>
    <t>20456/ТМ</t>
  </si>
  <si>
    <t>Централизованная охрана объекта (ктс)</t>
  </si>
  <si>
    <t>2310163739</t>
  </si>
  <si>
    <t>ФГКУ "УВО ВНГ России по Краснодарскому краю" ОВО по Тимашевскому району</t>
  </si>
  <si>
    <t>925 0000 0000000000244</t>
  </si>
  <si>
    <t>Ремонт автобуса</t>
  </si>
  <si>
    <t>ИП Аполонов</t>
  </si>
  <si>
    <t>Оказание услуг по организации питания учащихся (6-10 р)</t>
  </si>
  <si>
    <t>925  0000 0000000000 244</t>
  </si>
  <si>
    <t>оказание услуг по организации питания инвалидов</t>
  </si>
  <si>
    <t>оказание услуг по организации питания детей с ОВЗ</t>
  </si>
  <si>
    <t>оказание услуг по организации горячегопитания детей с овз</t>
  </si>
  <si>
    <t>Оказание услуг связи</t>
  </si>
  <si>
    <t>7707049388</t>
  </si>
  <si>
    <t>166-Б2</t>
  </si>
  <si>
    <t>То автоматических установок пожарной сигнализации</t>
  </si>
  <si>
    <t>2369000660</t>
  </si>
  <si>
    <t>Техническое обслуживание ГЛОНАСС</t>
  </si>
  <si>
    <t>ДГ-23/82</t>
  </si>
  <si>
    <t>ремонт морозильной камеры</t>
  </si>
  <si>
    <t>235300206670</t>
  </si>
  <si>
    <t>ИП Логинов</t>
  </si>
  <si>
    <t>Оказание услуг предрейсового и послерейсового медицинского и технического контроля, стоянка транспортного контроля, ТО-1, ТО-2.</t>
  </si>
  <si>
    <t>50/23</t>
  </si>
  <si>
    <t>Образовательные услуги</t>
  </si>
  <si>
    <t>6140004535</t>
  </si>
  <si>
    <t>ООО "Учитель-инфо"</t>
  </si>
  <si>
    <t>Проведение оценки</t>
  </si>
  <si>
    <t>2335015365</t>
  </si>
  <si>
    <t>СОЮЗ "ТПП"</t>
  </si>
  <si>
    <t>ООО "ВторИнвестЮг"</t>
  </si>
  <si>
    <t>6162076156</t>
  </si>
  <si>
    <t>Оценка техсостояния работоспособности техники</t>
  </si>
  <si>
    <t>поставка товара</t>
  </si>
  <si>
    <t>ИП Латышев</t>
  </si>
  <si>
    <t>223235301409723530100100130018010244</t>
  </si>
  <si>
    <t>0818300019922000336001</t>
  </si>
  <si>
    <t>0818300019922000336</t>
  </si>
  <si>
    <t>22.85</t>
  </si>
  <si>
    <t>13/23</t>
  </si>
  <si>
    <t>обучение</t>
  </si>
  <si>
    <t>2327014502</t>
  </si>
  <si>
    <t>ООО "БОЦ"</t>
  </si>
  <si>
    <t>оказание услуг по организации питания обучающихся 1-4 классы</t>
  </si>
  <si>
    <t>В течение 10 рабочих дней с момента подписания Заказчиком и Подрядчиком акта приема-сдачи и предоставленного Подрядчиком документа на оплату</t>
  </si>
  <si>
    <t>1-4 классы услуга по приготовлению</t>
  </si>
  <si>
    <t>оказание услуг по организации питания детей мобилизованных</t>
  </si>
  <si>
    <t>утилизация</t>
  </si>
  <si>
    <t>1/2023/19</t>
  </si>
  <si>
    <t>экскурсия</t>
  </si>
  <si>
    <t>2310052884</t>
  </si>
  <si>
    <t>ГБУК КК "КГИАМЗ им. Е.Д. Фелицына"</t>
  </si>
  <si>
    <t>30 % предоплата, окончательный расчет в течение 5 рабочих дней</t>
  </si>
  <si>
    <t>Панель светодиодная, лампочки</t>
  </si>
  <si>
    <t>235307112879</t>
  </si>
  <si>
    <t>ИП Деревянко</t>
  </si>
  <si>
    <t>37</t>
  </si>
  <si>
    <t>Хозтовары</t>
  </si>
  <si>
    <t>Дез средства</t>
  </si>
  <si>
    <t>233235301409723530100100100018020244</t>
  </si>
  <si>
    <t>0818300019923000058</t>
  </si>
  <si>
    <t xml:space="preserve">Оказание услуг по техническому обслуживанию объектовой станции системы пожарного мониторинга ПАК "Стрелец-мониторинг" 
</t>
  </si>
  <si>
    <t>0818300019923000058001</t>
  </si>
  <si>
    <t>Не позднее 7 рабочих дней с момента подписания Заказчиком документа о приемке выполненных работ и представленного Подрядчиком документа на оплату</t>
  </si>
  <si>
    <t>КС1/388-23</t>
  </si>
  <si>
    <t>научно-технические услуги</t>
  </si>
  <si>
    <t>2312038420</t>
  </si>
  <si>
    <t>ФГБОУ ВО "КубГУ"</t>
  </si>
  <si>
    <t>ИП Черниговский</t>
  </si>
  <si>
    <t>235300600997</t>
  </si>
  <si>
    <t>73-ЭО</t>
  </si>
  <si>
    <t>услуги по экологии</t>
  </si>
  <si>
    <t>235306110100</t>
  </si>
  <si>
    <t>ИП Казерова</t>
  </si>
  <si>
    <t>питание</t>
  </si>
  <si>
    <t>К056931/23</t>
  </si>
  <si>
    <t>обслуживание системы Контур экстерн</t>
  </si>
  <si>
    <t>6663003127</t>
  </si>
  <si>
    <t>АО "Производственная фирма "СКБ Контур"</t>
  </si>
  <si>
    <t>ООО "АйТи Мониторинг"</t>
  </si>
  <si>
    <t>2311187588</t>
  </si>
  <si>
    <t>обслуживание в удостоверяющем центре</t>
  </si>
  <si>
    <t>АТ00-004491</t>
  </si>
  <si>
    <t>51</t>
  </si>
  <si>
    <t>А0047506</t>
  </si>
  <si>
    <t>поставка учебников</t>
  </si>
  <si>
    <t>АО "Издательство "Просвещение"</t>
  </si>
  <si>
    <t>233235301409723530100100110015629244</t>
  </si>
  <si>
    <t>0818300019923000067</t>
  </si>
  <si>
    <t>Оказание услуг по организации питания</t>
  </si>
  <si>
    <t>2353020735</t>
  </si>
  <si>
    <t>ООО "Тимашевское ПРТ райпо"</t>
  </si>
  <si>
    <t>В течение 10 рабочих дней после подписания акта приема-передачи</t>
  </si>
  <si>
    <t>23-10541</t>
  </si>
  <si>
    <t>ООО "СпецБланк-Москва"</t>
  </si>
  <si>
    <t>7706526550</t>
  </si>
  <si>
    <t>аттестаты</t>
  </si>
  <si>
    <t>ИП Тарануха</t>
  </si>
  <si>
    <t>233003348389</t>
  </si>
  <si>
    <t>118-ТО</t>
  </si>
  <si>
    <t>техосмотр</t>
  </si>
  <si>
    <t>2023.095793</t>
  </si>
  <si>
    <t>бензин</t>
  </si>
  <si>
    <t>ООО "Процессинговая компания"</t>
  </si>
  <si>
    <t>УПД</t>
  </si>
  <si>
    <t>2310132554</t>
  </si>
  <si>
    <t>ООО "Краснодарский учколлектор"</t>
  </si>
  <si>
    <t>63</t>
  </si>
  <si>
    <t>товар</t>
  </si>
  <si>
    <t>в течение 7 рабочих дней</t>
  </si>
  <si>
    <t>66</t>
  </si>
  <si>
    <t>учебно-наглядное пособие</t>
  </si>
  <si>
    <t>2350009645</t>
  </si>
  <si>
    <t>ООО "Художественный салон "Сокол"</t>
  </si>
  <si>
    <t>питание сво</t>
  </si>
  <si>
    <t>услуга сво</t>
  </si>
  <si>
    <t>4348/212</t>
  </si>
  <si>
    <t>подписка</t>
  </si>
  <si>
    <t>7724490000</t>
  </si>
  <si>
    <t>АО "Почта России"</t>
  </si>
  <si>
    <t>В течение 10 рабочих дней предоплата</t>
  </si>
  <si>
    <t>70-77</t>
  </si>
  <si>
    <t>233907290277</t>
  </si>
  <si>
    <t>ИП Орехова</t>
  </si>
  <si>
    <t>6-23-2</t>
  </si>
  <si>
    <t>дезинсекция</t>
  </si>
  <si>
    <t>138</t>
  </si>
  <si>
    <t>хозтовары</t>
  </si>
  <si>
    <t>ИП Латышева</t>
  </si>
  <si>
    <t>30-05/2023-1</t>
  </si>
  <si>
    <t>ремонт автобуса</t>
  </si>
  <si>
    <t>235303782209</t>
  </si>
  <si>
    <t>ИП Пастухов</t>
  </si>
  <si>
    <t>01-06/2023-1</t>
  </si>
  <si>
    <t>100/23</t>
  </si>
  <si>
    <t>медосмотр</t>
  </si>
  <si>
    <t>2353006498</t>
  </si>
  <si>
    <t>ГБУЗ "Тимашевская ЦРБ"</t>
  </si>
  <si>
    <t>136</t>
  </si>
  <si>
    <t>краска</t>
  </si>
  <si>
    <t>06-06/2023-1</t>
  </si>
  <si>
    <t>925 0000 00000000000 244</t>
  </si>
  <si>
    <t>Оказание услуг по организации питания в лагере с дневным пребыванием детей на базе МБОУ СОШ № 6</t>
  </si>
  <si>
    <t>ООО "Тимашевское прт райпо"</t>
  </si>
  <si>
    <t>бумага</t>
  </si>
  <si>
    <t>137</t>
  </si>
  <si>
    <t>панель светодиодная</t>
  </si>
  <si>
    <t>А0056399</t>
  </si>
  <si>
    <t>Поставка учебной литературы</t>
  </si>
  <si>
    <t>до 08.08.2023</t>
  </si>
  <si>
    <t>В течение 10 рабочих дней со дня подписания Заказчиком УПД</t>
  </si>
  <si>
    <t>02.062023</t>
  </si>
  <si>
    <t>карта водителя</t>
  </si>
  <si>
    <t>бн</t>
  </si>
  <si>
    <t>2023.233334</t>
  </si>
  <si>
    <t>бензин Аи-92</t>
  </si>
  <si>
    <t>ООО "КТК"</t>
  </si>
  <si>
    <t>173</t>
  </si>
  <si>
    <t>краска, линолеум</t>
  </si>
  <si>
    <t>038-ПН-23</t>
  </si>
  <si>
    <t>Услуги по испытанию и измерению электроустановок и электрооборудования</t>
  </si>
  <si>
    <t>235302001163</t>
  </si>
  <si>
    <t>ИП Ромчук</t>
  </si>
  <si>
    <t>посуда</t>
  </si>
  <si>
    <t>235002152355</t>
  </si>
  <si>
    <t>2369980106</t>
  </si>
  <si>
    <t>мебель</t>
  </si>
  <si>
    <t>42/т</t>
  </si>
  <si>
    <t>опрессовка</t>
  </si>
  <si>
    <t>2315160361</t>
  </si>
  <si>
    <t>ООО "Городской расчетный центр"</t>
  </si>
  <si>
    <t>блок скзи и активация тахографа</t>
  </si>
  <si>
    <t>А0075256</t>
  </si>
  <si>
    <t>учебники</t>
  </si>
  <si>
    <t>7715995942</t>
  </si>
  <si>
    <t>2353016418</t>
  </si>
  <si>
    <t>МРО Православный приход  храма Вознесения Господня</t>
  </si>
  <si>
    <t>1/2023/25</t>
  </si>
  <si>
    <t>29.38</t>
  </si>
  <si>
    <t>стенды</t>
  </si>
  <si>
    <t>235303800426</t>
  </si>
  <si>
    <t>ИП Шашанков</t>
  </si>
  <si>
    <t>23235301409723530100100150015629244</t>
  </si>
  <si>
    <t>0818300019923000268</t>
  </si>
  <si>
    <t>Оказание услуг по организации питания учащихся в МБОУ СОШ № 6</t>
  </si>
  <si>
    <t>3235301409723000005</t>
  </si>
  <si>
    <t>с 01.09.2023 по 30.11.2023</t>
  </si>
  <si>
    <t>муу</t>
  </si>
  <si>
    <t>автострахование</t>
  </si>
  <si>
    <t>7710026574</t>
  </si>
  <si>
    <t>САО "ВСК"</t>
  </si>
  <si>
    <t>23500600997</t>
  </si>
  <si>
    <t>оргтехника</t>
  </si>
  <si>
    <t>235300809163</t>
  </si>
  <si>
    <t>ип коваленко</t>
  </si>
  <si>
    <t>61</t>
  </si>
  <si>
    <t xml:space="preserve">оказание услуг по организации питания </t>
  </si>
  <si>
    <t>25-09/2023-1</t>
  </si>
  <si>
    <t>техобслуживание и ремонт автомобиля</t>
  </si>
  <si>
    <t>226-ТО</t>
  </si>
  <si>
    <t>то автобуса</t>
  </si>
  <si>
    <t>377-ПЭК</t>
  </si>
  <si>
    <t>Разработка программы производственного экологического контроля</t>
  </si>
  <si>
    <t>376-НМУ</t>
  </si>
  <si>
    <t>Разработка мероприятий по уменьшению выбросов</t>
  </si>
  <si>
    <t>Разработка Проекта нормативов предельно-допустимых выбросов</t>
  </si>
  <si>
    <t>375-ПДВ</t>
  </si>
  <si>
    <t>142/23</t>
  </si>
  <si>
    <t>142-1/23</t>
  </si>
  <si>
    <t>оказание охранных услуг</t>
  </si>
  <si>
    <t>5100/212</t>
  </si>
  <si>
    <t>186</t>
  </si>
  <si>
    <t>ИП Коваленко</t>
  </si>
  <si>
    <t>83</t>
  </si>
  <si>
    <t>82</t>
  </si>
  <si>
    <t>заправка и ремонт картриджей</t>
  </si>
  <si>
    <t>093-2023</t>
  </si>
  <si>
    <t>огнезащитная обработка кровли</t>
  </si>
  <si>
    <t>ООО "Огнезащита-Юг"</t>
  </si>
  <si>
    <t>11,10,2023</t>
  </si>
  <si>
    <t>2023.335884</t>
  </si>
  <si>
    <t>2311299612</t>
  </si>
  <si>
    <t>реионт автобуса</t>
  </si>
  <si>
    <t>1/2023/47</t>
  </si>
  <si>
    <t>исключительное право использования программы ЭВМ</t>
  </si>
  <si>
    <t>234602203000</t>
  </si>
  <si>
    <t>ИП Архангельский</t>
  </si>
  <si>
    <t>960-44/2023</t>
  </si>
  <si>
    <t>ООО "Институт дополнительного профессионального образования"</t>
  </si>
  <si>
    <t>2308279278</t>
  </si>
  <si>
    <t>курсы</t>
  </si>
  <si>
    <t>канцтовары</t>
  </si>
  <si>
    <t>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</si>
</sst>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7" formatCode="#,##0.00\ &quot;₽&quot;;\-#,##0.00\ &quot;₽&quot;"/>
    <numFmt numFmtId="164" formatCode="#,##0.00\ &quot;₽&quot;"/>
    <numFmt numFmtId="165" formatCode="[$-F800]dddd\,\ mmmm\ dd\,\ yyyy"/>
    <numFmt numFmtId="166" formatCode="#,##0.00&quot;р.&quot;"/>
    <numFmt numFmtId="167" formatCode="0_ ;\-0\ "/>
    <numFmt numFmtId="168" formatCode="#,##0.00_ ;\-#,##0.00\ "/>
  </numFmts>
  <fonts count="16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20"/>
      <color theme="1"/>
      <name val="Times New Roman"/>
      <family val="2"/>
      <charset val="204"/>
    </font>
    <font>
      <b/>
      <sz val="12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6"/>
      <name val="Times New Roman"/>
      <family val="1"/>
      <charset val="204"/>
    </font>
    <font>
      <sz val="16"/>
      <color theme="1"/>
      <name val="Times New Roman"/>
      <family val="2"/>
      <charset val="204"/>
    </font>
    <font>
      <b/>
      <sz val="16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u/>
      <sz val="11"/>
      <color theme="10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19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9"/>
        <bgColor indexed="64"/>
      </patternFill>
    </fill>
  </fills>
  <borders count="8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</borders>
  <cellStyleXfs count="7">
    <xf numFmtId="0" fontId="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2" fillId="0" borderId="0" applyNumberFormat="0" applyFill="0" applyBorder="0" applyAlignment="0" applyProtection="0"/>
  </cellStyleXfs>
  <cellXfs count="838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66" fontId="3" fillId="0" borderId="6" xfId="0" applyNumberFormat="1" applyFont="1" applyBorder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 wrapText="1"/>
    </xf>
    <xf numFmtId="166" fontId="4" fillId="0" borderId="6" xfId="0" applyNumberFormat="1" applyFont="1" applyBorder="1" applyAlignment="1">
      <alignment horizontal="center" vertical="center" wrapText="1"/>
    </xf>
    <xf numFmtId="4" fontId="0" fillId="0" borderId="0" xfId="0" applyNumberForma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64" fontId="1" fillId="0" borderId="0" xfId="0" applyNumberFormat="1" applyFont="1" applyAlignment="1">
      <alignment horizontal="center" vertical="center" wrapText="1"/>
    </xf>
    <xf numFmtId="165" fontId="1" fillId="0" borderId="0" xfId="0" applyNumberFormat="1" applyFont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49" fontId="1" fillId="0" borderId="0" xfId="0" applyNumberFormat="1" applyFont="1" applyBorder="1" applyAlignment="1">
      <alignment horizontal="center" vertical="center" wrapText="1"/>
    </xf>
    <xf numFmtId="164" fontId="1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4" borderId="0" xfId="0" applyFont="1" applyFill="1" applyAlignment="1">
      <alignment horizontal="center" vertical="center" wrapText="1"/>
    </xf>
    <xf numFmtId="0" fontId="1" fillId="4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0" fillId="0" borderId="0" xfId="0" applyFill="1" applyBorder="1" applyAlignment="1">
      <alignment vertical="center" wrapText="1"/>
    </xf>
    <xf numFmtId="4" fontId="3" fillId="0" borderId="0" xfId="0" applyNumberFormat="1" applyFont="1" applyFill="1" applyBorder="1" applyAlignment="1">
      <alignment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165" fontId="1" fillId="3" borderId="1" xfId="0" applyNumberFormat="1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165" fontId="1" fillId="2" borderId="13" xfId="0" applyNumberFormat="1" applyFont="1" applyFill="1" applyBorder="1" applyAlignment="1">
      <alignment horizontal="center" vertical="center" wrapText="1"/>
    </xf>
    <xf numFmtId="49" fontId="1" fillId="2" borderId="13" xfId="0" applyNumberFormat="1" applyFont="1" applyFill="1" applyBorder="1" applyAlignment="1">
      <alignment horizontal="center" vertical="center" wrapText="1"/>
    </xf>
    <xf numFmtId="165" fontId="1" fillId="0" borderId="0" xfId="0" applyNumberFormat="1" applyFont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7" fontId="1" fillId="0" borderId="0" xfId="0" applyNumberFormat="1" applyFont="1" applyAlignment="1">
      <alignment horizontal="center" vertical="center" wrapText="1"/>
    </xf>
    <xf numFmtId="7" fontId="1" fillId="2" borderId="1" xfId="0" applyNumberFormat="1" applyFont="1" applyFill="1" applyBorder="1" applyAlignment="1">
      <alignment horizontal="center" vertical="center" wrapText="1"/>
    </xf>
    <xf numFmtId="7" fontId="1" fillId="3" borderId="1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2" fontId="1" fillId="3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7" fontId="1" fillId="0" borderId="0" xfId="0" applyNumberFormat="1" applyFont="1" applyFill="1" applyBorder="1" applyAlignment="1">
      <alignment horizontal="center" vertical="center" wrapText="1"/>
    </xf>
    <xf numFmtId="7" fontId="1" fillId="0" borderId="0" xfId="0" applyNumberFormat="1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 wrapText="1"/>
    </xf>
    <xf numFmtId="165" fontId="1" fillId="0" borderId="0" xfId="0" applyNumberFormat="1" applyFont="1" applyFill="1" applyAlignment="1">
      <alignment horizontal="center" vertical="center" wrapText="1"/>
    </xf>
    <xf numFmtId="164" fontId="1" fillId="0" borderId="0" xfId="0" applyNumberFormat="1" applyFont="1" applyFill="1" applyBorder="1" applyAlignment="1">
      <alignment horizontal="center" vertical="center" wrapText="1"/>
    </xf>
    <xf numFmtId="164" fontId="1" fillId="0" borderId="0" xfId="0" applyNumberFormat="1" applyFont="1" applyFill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Fill="1" applyAlignment="1">
      <alignment horizontal="center" vertical="center" wrapText="1"/>
    </xf>
    <xf numFmtId="0" fontId="13" fillId="0" borderId="0" xfId="1" applyFont="1" applyAlignment="1">
      <alignment horizontal="center" vertical="center" wrapText="1"/>
    </xf>
    <xf numFmtId="0" fontId="13" fillId="0" borderId="0" xfId="1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3" fillId="0" borderId="0" xfId="4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13" fillId="0" borderId="0" xfId="6" applyFont="1" applyBorder="1" applyAlignment="1">
      <alignment horizontal="center" vertical="center" wrapText="1"/>
    </xf>
    <xf numFmtId="0" fontId="15" fillId="0" borderId="0" xfId="1" applyFont="1" applyBorder="1" applyAlignment="1">
      <alignment horizontal="center" vertical="center" wrapText="1"/>
    </xf>
    <xf numFmtId="0" fontId="13" fillId="5" borderId="1" xfId="4" applyFont="1" applyFill="1" applyBorder="1" applyAlignment="1">
      <alignment horizontal="center" vertical="center" wrapText="1"/>
    </xf>
    <xf numFmtId="0" fontId="13" fillId="5" borderId="1" xfId="1" applyFont="1" applyFill="1" applyBorder="1" applyAlignment="1">
      <alignment horizontal="center" vertical="center" wrapText="1"/>
    </xf>
    <xf numFmtId="0" fontId="13" fillId="6" borderId="1" xfId="4" applyFont="1" applyFill="1" applyBorder="1" applyAlignment="1">
      <alignment horizontal="center" vertical="center" wrapText="1"/>
    </xf>
    <xf numFmtId="0" fontId="13" fillId="6" borderId="1" xfId="1" applyFont="1" applyFill="1" applyBorder="1" applyAlignment="1">
      <alignment horizontal="center" vertical="center" wrapText="1"/>
    </xf>
    <xf numFmtId="0" fontId="13" fillId="7" borderId="1" xfId="4" applyFont="1" applyFill="1" applyBorder="1" applyAlignment="1">
      <alignment horizontal="center" vertical="center" wrapText="1"/>
    </xf>
    <xf numFmtId="0" fontId="13" fillId="7" borderId="1" xfId="1" applyFont="1" applyFill="1" applyBorder="1" applyAlignment="1">
      <alignment horizontal="center" vertical="center" wrapText="1"/>
    </xf>
    <xf numFmtId="0" fontId="13" fillId="8" borderId="1" xfId="4" applyFont="1" applyFill="1" applyBorder="1" applyAlignment="1">
      <alignment horizontal="center" vertical="center" wrapText="1"/>
    </xf>
    <xf numFmtId="0" fontId="13" fillId="8" borderId="1" xfId="1" applyFont="1" applyFill="1" applyBorder="1" applyAlignment="1">
      <alignment horizontal="center" vertical="center" wrapText="1"/>
    </xf>
    <xf numFmtId="0" fontId="13" fillId="9" borderId="1" xfId="4" applyFont="1" applyFill="1" applyBorder="1" applyAlignment="1">
      <alignment horizontal="center" vertical="center" wrapText="1"/>
    </xf>
    <xf numFmtId="0" fontId="13" fillId="9" borderId="1" xfId="1" applyFont="1" applyFill="1" applyBorder="1" applyAlignment="1">
      <alignment horizontal="center" vertical="center" wrapText="1"/>
    </xf>
    <xf numFmtId="0" fontId="13" fillId="10" borderId="1" xfId="1" applyFont="1" applyFill="1" applyBorder="1" applyAlignment="1">
      <alignment horizontal="center" vertical="center" wrapText="1"/>
    </xf>
    <xf numFmtId="0" fontId="13" fillId="10" borderId="1" xfId="4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165" fontId="1" fillId="2" borderId="14" xfId="0" applyNumberFormat="1" applyFont="1" applyFill="1" applyBorder="1" applyAlignment="1">
      <alignment horizontal="center" vertical="center" wrapText="1"/>
    </xf>
    <xf numFmtId="49" fontId="1" fillId="2" borderId="14" xfId="0" applyNumberFormat="1" applyFont="1" applyFill="1" applyBorder="1" applyAlignment="1">
      <alignment horizontal="center" vertical="center" wrapText="1"/>
    </xf>
    <xf numFmtId="7" fontId="1" fillId="2" borderId="14" xfId="0" applyNumberFormat="1" applyFont="1" applyFill="1" applyBorder="1" applyAlignment="1">
      <alignment horizontal="center" vertical="center" wrapText="1"/>
    </xf>
    <xf numFmtId="164" fontId="1" fillId="2" borderId="14" xfId="0" applyNumberFormat="1" applyFont="1" applyFill="1" applyBorder="1" applyAlignment="1">
      <alignment horizontal="center" vertical="center" wrapText="1"/>
    </xf>
    <xf numFmtId="49" fontId="1" fillId="3" borderId="14" xfId="0" applyNumberFormat="1" applyFont="1" applyFill="1" applyBorder="1" applyAlignment="1">
      <alignment horizontal="center" vertical="center" wrapText="1"/>
    </xf>
    <xf numFmtId="165" fontId="1" fillId="3" borderId="14" xfId="0" applyNumberFormat="1" applyFont="1" applyFill="1" applyBorder="1" applyAlignment="1">
      <alignment horizontal="center" vertical="center" wrapText="1"/>
    </xf>
    <xf numFmtId="164" fontId="1" fillId="3" borderId="14" xfId="0" applyNumberFormat="1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167" fontId="1" fillId="3" borderId="1" xfId="0" applyNumberFormat="1" applyFont="1" applyFill="1" applyBorder="1" applyAlignment="1">
      <alignment horizontal="center" vertical="center" wrapText="1"/>
    </xf>
    <xf numFmtId="14" fontId="1" fillId="3" borderId="1" xfId="0" applyNumberFormat="1" applyFont="1" applyFill="1" applyBorder="1" applyAlignment="1">
      <alignment horizontal="center" vertical="center" wrapText="1"/>
    </xf>
    <xf numFmtId="49" fontId="1" fillId="0" borderId="14" xfId="0" applyNumberFormat="1" applyFont="1" applyFill="1" applyBorder="1" applyAlignment="1">
      <alignment horizontal="center" vertical="center" wrapText="1"/>
    </xf>
    <xf numFmtId="168" fontId="1" fillId="3" borderId="14" xfId="0" applyNumberFormat="1" applyFont="1" applyFill="1" applyBorder="1" applyAlignment="1">
      <alignment horizontal="center" vertical="center" wrapText="1"/>
    </xf>
    <xf numFmtId="0" fontId="13" fillId="10" borderId="14" xfId="1" applyFont="1" applyFill="1" applyBorder="1" applyAlignment="1">
      <alignment horizontal="center" vertical="center" wrapText="1"/>
    </xf>
    <xf numFmtId="0" fontId="13" fillId="6" borderId="14" xfId="1" applyFont="1" applyFill="1" applyBorder="1" applyAlignment="1">
      <alignment horizontal="center" vertical="center" wrapText="1"/>
    </xf>
    <xf numFmtId="0" fontId="13" fillId="7" borderId="14" xfId="1" applyFont="1" applyFill="1" applyBorder="1" applyAlignment="1">
      <alignment horizontal="center" vertical="center" wrapText="1"/>
    </xf>
    <xf numFmtId="0" fontId="13" fillId="9" borderId="14" xfId="1" applyFont="1" applyFill="1" applyBorder="1" applyAlignment="1">
      <alignment horizontal="center" vertical="center" wrapText="1"/>
    </xf>
    <xf numFmtId="0" fontId="13" fillId="8" borderId="14" xfId="1" applyFont="1" applyFill="1" applyBorder="1" applyAlignment="1">
      <alignment horizontal="center" vertical="center" wrapText="1"/>
    </xf>
    <xf numFmtId="0" fontId="13" fillId="5" borderId="14" xfId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7" fontId="1" fillId="11" borderId="6" xfId="0" applyNumberFormat="1" applyFont="1" applyFill="1" applyBorder="1" applyAlignment="1">
      <alignment horizontal="center" vertical="center" wrapText="1"/>
    </xf>
    <xf numFmtId="7" fontId="1" fillId="13" borderId="6" xfId="0" applyNumberFormat="1" applyFont="1" applyFill="1" applyBorder="1" applyAlignment="1">
      <alignment horizontal="center" vertical="center" wrapText="1"/>
    </xf>
    <xf numFmtId="164" fontId="1" fillId="2" borderId="13" xfId="0" applyNumberFormat="1" applyFont="1" applyFill="1" applyBorder="1" applyAlignment="1">
      <alignment horizontal="center" vertical="center" wrapText="1"/>
    </xf>
    <xf numFmtId="49" fontId="1" fillId="3" borderId="15" xfId="0" applyNumberFormat="1" applyFont="1" applyFill="1" applyBorder="1" applyAlignment="1">
      <alignment horizontal="center" vertical="center" wrapText="1"/>
    </xf>
    <xf numFmtId="165" fontId="1" fillId="3" borderId="15" xfId="0" applyNumberFormat="1" applyFont="1" applyFill="1" applyBorder="1" applyAlignment="1">
      <alignment horizontal="center" vertical="center" wrapText="1"/>
    </xf>
    <xf numFmtId="164" fontId="1" fillId="3" borderId="15" xfId="0" applyNumberFormat="1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14" fontId="1" fillId="3" borderId="15" xfId="0" applyNumberFormat="1" applyFont="1" applyFill="1" applyBorder="1" applyAlignment="1">
      <alignment horizontal="center" vertical="center" wrapText="1"/>
    </xf>
    <xf numFmtId="1" fontId="1" fillId="3" borderId="15" xfId="0" applyNumberFormat="1" applyFont="1" applyFill="1" applyBorder="1" applyAlignment="1">
      <alignment horizontal="center" vertical="center" wrapText="1"/>
    </xf>
    <xf numFmtId="2" fontId="1" fillId="3" borderId="14" xfId="0" applyNumberFormat="1" applyFont="1" applyFill="1" applyBorder="1" applyAlignment="1">
      <alignment horizontal="center" vertical="center" wrapText="1"/>
    </xf>
    <xf numFmtId="164" fontId="1" fillId="14" borderId="6" xfId="0" applyNumberFormat="1" applyFont="1" applyFill="1" applyBorder="1" applyAlignment="1">
      <alignment horizontal="center" vertical="center" wrapText="1"/>
    </xf>
    <xf numFmtId="4" fontId="3" fillId="0" borderId="6" xfId="0" applyNumberFormat="1" applyFont="1" applyFill="1" applyBorder="1" applyAlignment="1">
      <alignment horizontal="center" vertical="center" wrapText="1"/>
    </xf>
    <xf numFmtId="164" fontId="1" fillId="16" borderId="6" xfId="0" applyNumberFormat="1" applyFont="1" applyFill="1" applyBorder="1" applyAlignment="1">
      <alignment horizontal="center" vertical="center" wrapText="1"/>
    </xf>
    <xf numFmtId="49" fontId="1" fillId="10" borderId="3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4" fontId="1" fillId="3" borderId="14" xfId="0" applyNumberFormat="1" applyFont="1" applyFill="1" applyBorder="1" applyAlignment="1">
      <alignment horizontal="center" vertical="center" wrapText="1"/>
    </xf>
    <xf numFmtId="7" fontId="1" fillId="0" borderId="0" xfId="0" applyNumberFormat="1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18" borderId="0" xfId="0" applyFont="1" applyFill="1" applyBorder="1" applyAlignment="1">
      <alignment horizontal="center" vertical="center" wrapText="1"/>
    </xf>
    <xf numFmtId="0" fontId="1" fillId="18" borderId="0" xfId="0" applyFont="1" applyFill="1" applyAlignment="1">
      <alignment horizontal="center" vertical="center" wrapText="1"/>
    </xf>
    <xf numFmtId="49" fontId="1" fillId="4" borderId="0" xfId="0" applyNumberFormat="1" applyFont="1" applyFill="1" applyBorder="1" applyAlignment="1">
      <alignment horizontal="center" vertical="center" wrapText="1"/>
    </xf>
    <xf numFmtId="49" fontId="1" fillId="4" borderId="0" xfId="0" applyNumberFormat="1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4" fontId="1" fillId="18" borderId="20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0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0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21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21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21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22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22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22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0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21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22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3" xfId="0" applyNumberFormat="1" applyFont="1" applyFill="1" applyBorder="1" applyAlignment="1">
      <alignment horizontal="center" vertical="center" wrapText="1"/>
    </xf>
    <xf numFmtId="49" fontId="1" fillId="18" borderId="23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3" xfId="0" applyNumberFormat="1" applyFont="1" applyFill="1" applyBorder="1" applyAlignment="1">
      <alignment horizontal="center" vertical="center" wrapText="1"/>
    </xf>
    <xf numFmtId="167" fontId="1" fillId="18" borderId="23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23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23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>
      <alignment horizontal="center" vertical="center" wrapText="1"/>
    </xf>
    <xf numFmtId="0" fontId="1" fillId="18" borderId="23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>
      <alignment horizontal="center" vertical="center" wrapText="1"/>
    </xf>
    <xf numFmtId="14" fontId="1" fillId="18" borderId="23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28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28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28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28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31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31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31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31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23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23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>
      <alignment horizontal="center" vertical="center" wrapText="1"/>
    </xf>
    <xf numFmtId="49" fontId="1" fillId="18" borderId="33" xfId="0" applyNumberFormat="1" applyFont="1" applyFill="1" applyBorder="1" applyAlignment="1">
      <alignment horizontal="center" vertical="center" wrapText="1"/>
    </xf>
    <xf numFmtId="49" fontId="1" fillId="18" borderId="33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3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3" xfId="0" applyNumberFormat="1" applyFont="1" applyFill="1" applyBorder="1" applyAlignment="1">
      <alignment horizontal="center" vertical="center" wrapText="1"/>
    </xf>
    <xf numFmtId="168" fontId="1" fillId="18" borderId="33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33" xfId="0" applyFont="1" applyFill="1" applyBorder="1" applyAlignment="1" applyProtection="1">
      <alignment horizontal="center" vertical="center" wrapText="1"/>
      <protection locked="0"/>
    </xf>
    <xf numFmtId="167" fontId="1" fillId="18" borderId="33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33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33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33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33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35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5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35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5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38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38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38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38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41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41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41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41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42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>
      <alignment horizontal="center" vertical="center" wrapText="1"/>
    </xf>
    <xf numFmtId="49" fontId="1" fillId="18" borderId="42" xfId="0" applyNumberFormat="1" applyFont="1" applyFill="1" applyBorder="1" applyAlignment="1">
      <alignment horizontal="center" vertical="center" wrapText="1"/>
    </xf>
    <xf numFmtId="49" fontId="1" fillId="18" borderId="42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4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2" xfId="0" applyNumberFormat="1" applyFont="1" applyFill="1" applyBorder="1" applyAlignment="1">
      <alignment horizontal="center" vertical="center" wrapText="1"/>
    </xf>
    <xf numFmtId="165" fontId="1" fillId="18" borderId="42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42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42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42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42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4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3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43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3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44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44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44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45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45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45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43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44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45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>
      <alignment horizontal="center" vertical="center" wrapText="1"/>
    </xf>
    <xf numFmtId="0" fontId="1" fillId="18" borderId="46" xfId="0" applyFont="1" applyFill="1" applyBorder="1" applyAlignment="1" applyProtection="1">
      <alignment horizontal="center" vertical="center" wrapText="1"/>
      <protection locked="0"/>
    </xf>
    <xf numFmtId="49" fontId="1" fillId="18" borderId="46" xfId="0" applyNumberFormat="1" applyFont="1" applyFill="1" applyBorder="1" applyAlignment="1">
      <alignment horizontal="center" vertical="center" wrapText="1"/>
    </xf>
    <xf numFmtId="49" fontId="1" fillId="18" borderId="46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46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6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6" xfId="0" applyNumberFormat="1" applyFont="1" applyFill="1" applyBorder="1" applyAlignment="1">
      <alignment horizontal="center" vertical="center" wrapText="1"/>
    </xf>
    <xf numFmtId="168" fontId="1" fillId="18" borderId="46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46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7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47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7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48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48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48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49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49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49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47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48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49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46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46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46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50" xfId="0" applyFont="1" applyFill="1" applyBorder="1" applyAlignment="1" applyProtection="1">
      <alignment horizontal="center" vertical="center" wrapText="1"/>
      <protection locked="0"/>
    </xf>
    <xf numFmtId="14" fontId="1" fillId="18" borderId="46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50" xfId="0" applyFont="1" applyFill="1" applyBorder="1" applyAlignment="1" applyProtection="1">
      <alignment horizontal="center" vertical="center" wrapText="1"/>
      <protection locked="0"/>
    </xf>
    <xf numFmtId="49" fontId="1" fillId="18" borderId="50" xfId="0" applyNumberFormat="1" applyFont="1" applyFill="1" applyBorder="1" applyAlignment="1">
      <alignment horizontal="center" vertical="center" wrapText="1"/>
    </xf>
    <xf numFmtId="49" fontId="1" fillId="18" borderId="50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5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0" xfId="0" applyNumberFormat="1" applyFont="1" applyFill="1" applyBorder="1" applyAlignment="1">
      <alignment horizontal="center" vertical="center" wrapText="1"/>
    </xf>
    <xf numFmtId="167" fontId="1" fillId="18" borderId="50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50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50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50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50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50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50" xfId="0" applyNumberFormat="1" applyFont="1" applyFill="1" applyBorder="1" applyAlignment="1" applyProtection="1">
      <alignment horizontal="center" vertical="center" wrapText="1"/>
      <protection locked="0"/>
    </xf>
    <xf numFmtId="1" fontId="1" fillId="18" borderId="50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>
      <alignment horizontal="center" vertical="center" wrapText="1"/>
    </xf>
    <xf numFmtId="0" fontId="1" fillId="18" borderId="50" xfId="0" applyFont="1" applyFill="1" applyBorder="1" applyAlignment="1" applyProtection="1">
      <alignment horizontal="center" vertical="center" wrapText="1"/>
      <protection locked="0"/>
    </xf>
    <xf numFmtId="4" fontId="1" fillId="18" borderId="52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52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55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55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52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55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7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57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57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58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58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58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57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58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59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59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59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59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50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59" xfId="0" applyNumberFormat="1" applyFont="1" applyFill="1" applyBorder="1" applyAlignment="1">
      <alignment horizontal="center" vertical="center" wrapText="1"/>
    </xf>
    <xf numFmtId="4" fontId="1" fillId="18" borderId="59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59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59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59" xfId="0" applyFont="1" applyFill="1" applyBorder="1" applyAlignment="1" applyProtection="1">
      <alignment horizontal="center" vertical="center" wrapText="1"/>
      <protection locked="0"/>
    </xf>
    <xf numFmtId="0" fontId="1" fillId="18" borderId="59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9" xfId="0" applyNumberFormat="1" applyFont="1" applyFill="1" applyBorder="1" applyAlignment="1">
      <alignment horizontal="center" vertical="center" wrapText="1"/>
    </xf>
    <xf numFmtId="165" fontId="1" fillId="18" borderId="59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59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59" xfId="0" applyNumberFormat="1" applyFont="1" applyFill="1" applyBorder="1" applyAlignment="1">
      <alignment horizontal="center" vertical="center" wrapText="1"/>
    </xf>
    <xf numFmtId="4" fontId="1" fillId="18" borderId="59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59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59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59" xfId="0" applyFont="1" applyFill="1" applyBorder="1" applyAlignment="1" applyProtection="1">
      <alignment horizontal="center" vertical="center" wrapText="1"/>
      <protection locked="0"/>
    </xf>
    <xf numFmtId="0" fontId="1" fillId="18" borderId="59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9" xfId="0" applyNumberFormat="1" applyFont="1" applyFill="1" applyBorder="1" applyAlignment="1">
      <alignment horizontal="center" vertical="center" wrapText="1"/>
    </xf>
    <xf numFmtId="165" fontId="1" fillId="18" borderId="59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59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59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59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59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4" fontId="1" fillId="18" borderId="60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60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60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61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61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61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62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62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62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60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61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62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63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63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>
      <alignment horizontal="center" vertical="center" wrapText="1"/>
    </xf>
    <xf numFmtId="49" fontId="1" fillId="18" borderId="63" xfId="0" applyNumberFormat="1" applyFont="1" applyFill="1" applyBorder="1" applyAlignment="1">
      <alignment horizontal="center" vertical="center" wrapText="1"/>
    </xf>
    <xf numFmtId="0" fontId="1" fillId="18" borderId="6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6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63" xfId="0" applyNumberFormat="1" applyFont="1" applyFill="1" applyBorder="1" applyAlignment="1">
      <alignment horizontal="center" vertical="center" wrapText="1"/>
    </xf>
    <xf numFmtId="168" fontId="1" fillId="18" borderId="63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6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64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64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65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65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66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66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64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65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66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63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67" xfId="0" applyFont="1" applyFill="1" applyBorder="1" applyAlignment="1" applyProtection="1">
      <alignment horizontal="center" vertical="center" wrapText="1"/>
      <protection locked="0"/>
    </xf>
    <xf numFmtId="49" fontId="1" fillId="18" borderId="67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67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67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67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67" xfId="0" applyNumberFormat="1" applyFont="1" applyFill="1" applyBorder="1" applyAlignment="1">
      <alignment horizontal="center" vertical="center" wrapText="1"/>
    </xf>
    <xf numFmtId="49" fontId="1" fillId="18" borderId="67" xfId="0" applyNumberFormat="1" applyFont="1" applyFill="1" applyBorder="1" applyAlignment="1">
      <alignment horizontal="center" vertical="center" wrapText="1"/>
    </xf>
    <xf numFmtId="168" fontId="1" fillId="18" borderId="67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>
      <alignment horizontal="center" vertical="center" wrapText="1"/>
    </xf>
    <xf numFmtId="165" fontId="1" fillId="18" borderId="67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67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68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68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>
      <alignment horizontal="center" vertical="center" wrapText="1"/>
    </xf>
    <xf numFmtId="49" fontId="1" fillId="18" borderId="68" xfId="0" applyNumberFormat="1" applyFont="1" applyFill="1" applyBorder="1" applyAlignment="1">
      <alignment horizontal="center" vertical="center" wrapText="1"/>
    </xf>
    <xf numFmtId="165" fontId="1" fillId="18" borderId="68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68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68" xfId="0" applyNumberFormat="1" applyFont="1" applyFill="1" applyBorder="1" applyAlignment="1">
      <alignment horizontal="center" vertical="center" wrapText="1"/>
    </xf>
    <xf numFmtId="167" fontId="1" fillId="18" borderId="68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68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68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68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68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68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69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69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69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70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70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70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71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71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71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69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70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71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72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72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>
      <alignment horizontal="center" vertical="center" wrapText="1"/>
    </xf>
    <xf numFmtId="49" fontId="1" fillId="18" borderId="72" xfId="0" applyNumberFormat="1" applyFont="1" applyFill="1" applyBorder="1" applyAlignment="1">
      <alignment horizontal="center" vertical="center" wrapText="1"/>
    </xf>
    <xf numFmtId="0" fontId="1" fillId="18" borderId="7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7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72" xfId="0" applyNumberFormat="1" applyFont="1" applyFill="1" applyBorder="1" applyAlignment="1">
      <alignment horizontal="center" vertical="center" wrapText="1"/>
    </xf>
    <xf numFmtId="165" fontId="1" fillId="18" borderId="72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72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72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72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72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72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NumberFormat="1" applyFont="1" applyBorder="1" applyAlignment="1">
      <alignment horizontal="center" vertical="center" wrapText="1"/>
    </xf>
    <xf numFmtId="0" fontId="1" fillId="0" borderId="0" xfId="0" applyNumberFormat="1" applyFont="1" applyFill="1" applyAlignment="1">
      <alignment horizontal="center" vertical="center" wrapText="1"/>
    </xf>
    <xf numFmtId="4" fontId="1" fillId="18" borderId="73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73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73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74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74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74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75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75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75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73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74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75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77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77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80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80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83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83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77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80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83" xfId="0" applyNumberFormat="1" applyFont="1" applyFill="1" applyBorder="1" applyAlignment="1" applyProtection="1">
      <alignment horizontal="center" vertical="center" wrapText="1"/>
      <protection locked="0"/>
    </xf>
    <xf numFmtId="0" fontId="2" fillId="17" borderId="3" xfId="0" applyFont="1" applyFill="1" applyBorder="1" applyAlignment="1">
      <alignment horizontal="center" vertical="center" wrapText="1"/>
    </xf>
    <xf numFmtId="0" fontId="2" fillId="17" borderId="4" xfId="0" applyFont="1" applyFill="1" applyBorder="1" applyAlignment="1">
      <alignment horizontal="center" vertical="center" wrapText="1"/>
    </xf>
    <xf numFmtId="0" fontId="2" fillId="17" borderId="5" xfId="0" applyFont="1" applyFill="1" applyBorder="1" applyAlignment="1">
      <alignment horizontal="center" vertical="center" wrapText="1"/>
    </xf>
    <xf numFmtId="0" fontId="8" fillId="12" borderId="8" xfId="0" applyFont="1" applyFill="1" applyBorder="1" applyAlignment="1">
      <alignment horizontal="center" vertical="center" wrapText="1"/>
    </xf>
    <xf numFmtId="0" fontId="8" fillId="12" borderId="9" xfId="0" applyFont="1" applyFill="1" applyBorder="1" applyAlignment="1">
      <alignment horizontal="center" vertical="center" wrapText="1"/>
    </xf>
    <xf numFmtId="0" fontId="8" fillId="12" borderId="10" xfId="0" applyFont="1" applyFill="1" applyBorder="1" applyAlignment="1">
      <alignment horizontal="center" vertical="center" wrapText="1"/>
    </xf>
    <xf numFmtId="0" fontId="8" fillId="12" borderId="11" xfId="0" applyFont="1" applyFill="1" applyBorder="1" applyAlignment="1">
      <alignment horizontal="center" vertical="center" wrapText="1"/>
    </xf>
    <xf numFmtId="0" fontId="8" fillId="12" borderId="7" xfId="0" applyFont="1" applyFill="1" applyBorder="1" applyAlignment="1">
      <alignment horizontal="center" vertical="center" wrapText="1"/>
    </xf>
    <xf numFmtId="0" fontId="8" fillId="12" borderId="12" xfId="0" applyFont="1" applyFill="1" applyBorder="1" applyAlignment="1">
      <alignment horizontal="center" vertical="center" wrapText="1"/>
    </xf>
    <xf numFmtId="164" fontId="9" fillId="2" borderId="8" xfId="0" applyNumberFormat="1" applyFont="1" applyFill="1" applyBorder="1" applyAlignment="1">
      <alignment horizontal="center" vertical="center" wrapText="1"/>
    </xf>
    <xf numFmtId="164" fontId="9" fillId="2" borderId="9" xfId="0" applyNumberFormat="1" applyFont="1" applyFill="1" applyBorder="1" applyAlignment="1">
      <alignment horizontal="center" vertical="center" wrapText="1"/>
    </xf>
    <xf numFmtId="164" fontId="9" fillId="2" borderId="10" xfId="0" applyNumberFormat="1" applyFont="1" applyFill="1" applyBorder="1" applyAlignment="1">
      <alignment horizontal="center" vertical="center" wrapText="1"/>
    </xf>
    <xf numFmtId="164" fontId="9" fillId="2" borderId="11" xfId="0" applyNumberFormat="1" applyFont="1" applyFill="1" applyBorder="1" applyAlignment="1">
      <alignment horizontal="center" vertical="center" wrapText="1"/>
    </xf>
    <xf numFmtId="164" fontId="9" fillId="2" borderId="7" xfId="0" applyNumberFormat="1" applyFont="1" applyFill="1" applyBorder="1" applyAlignment="1">
      <alignment horizontal="center" vertical="center" wrapText="1"/>
    </xf>
    <xf numFmtId="164" fontId="9" fillId="2" borderId="12" xfId="0" applyNumberFormat="1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0" fontId="7" fillId="7" borderId="4" xfId="0" applyFont="1" applyFill="1" applyBorder="1" applyAlignment="1">
      <alignment horizontal="center" vertical="center" wrapText="1"/>
    </xf>
    <xf numFmtId="0" fontId="7" fillId="7" borderId="5" xfId="0" applyFont="1" applyFill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13" borderId="3" xfId="0" applyFont="1" applyFill="1" applyBorder="1" applyAlignment="1">
      <alignment horizontal="center" vertical="center" wrapText="1"/>
    </xf>
    <xf numFmtId="0" fontId="7" fillId="13" borderId="4" xfId="0" applyFont="1" applyFill="1" applyBorder="1" applyAlignment="1">
      <alignment horizontal="center" vertical="center" wrapText="1"/>
    </xf>
    <xf numFmtId="0" fontId="7" fillId="13" borderId="5" xfId="0" applyFont="1" applyFill="1" applyBorder="1" applyAlignment="1">
      <alignment horizontal="center" vertical="center" wrapText="1"/>
    </xf>
    <xf numFmtId="0" fontId="7" fillId="12" borderId="3" xfId="0" applyFont="1" applyFill="1" applyBorder="1" applyAlignment="1">
      <alignment horizontal="center" vertical="center" wrapText="1"/>
    </xf>
    <xf numFmtId="0" fontId="7" fillId="12" borderId="4" xfId="0" applyFont="1" applyFill="1" applyBorder="1" applyAlignment="1">
      <alignment horizontal="center" vertical="center" wrapText="1"/>
    </xf>
    <xf numFmtId="0" fontId="7" fillId="12" borderId="5" xfId="0" applyFont="1" applyFill="1" applyBorder="1" applyAlignment="1">
      <alignment horizontal="center" vertical="center" wrapText="1"/>
    </xf>
    <xf numFmtId="164" fontId="4" fillId="0" borderId="16" xfId="0" applyNumberFormat="1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4" fontId="4" fillId="0" borderId="16" xfId="0" applyNumberFormat="1" applyFont="1" applyFill="1" applyBorder="1" applyAlignment="1">
      <alignment horizontal="center" vertical="center" wrapText="1"/>
    </xf>
    <xf numFmtId="4" fontId="4" fillId="0" borderId="18" xfId="0" applyNumberFormat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4" fontId="3" fillId="0" borderId="16" xfId="0" applyNumberFormat="1" applyFont="1" applyFill="1" applyBorder="1" applyAlignment="1">
      <alignment horizontal="center" vertical="center" wrapText="1"/>
    </xf>
    <xf numFmtId="4" fontId="3" fillId="0" borderId="17" xfId="0" applyNumberFormat="1" applyFont="1" applyFill="1" applyBorder="1" applyAlignment="1">
      <alignment horizontal="center" vertical="center" wrapText="1"/>
    </xf>
    <xf numFmtId="4" fontId="3" fillId="0" borderId="18" xfId="0" applyNumberFormat="1" applyFont="1" applyFill="1" applyBorder="1" applyAlignment="1">
      <alignment horizontal="center" vertical="center" wrapText="1"/>
    </xf>
    <xf numFmtId="164" fontId="3" fillId="0" borderId="16" xfId="0" applyNumberFormat="1" applyFont="1" applyBorder="1" applyAlignment="1">
      <alignment horizontal="center" vertical="center" wrapText="1"/>
    </xf>
    <xf numFmtId="164" fontId="3" fillId="0" borderId="17" xfId="0" applyNumberFormat="1" applyFont="1" applyBorder="1" applyAlignment="1">
      <alignment horizontal="center" vertical="center" wrapText="1"/>
    </xf>
    <xf numFmtId="164" fontId="3" fillId="0" borderId="18" xfId="0" applyNumberFormat="1" applyFont="1" applyBorder="1" applyAlignment="1">
      <alignment horizontal="center" vertical="center" wrapText="1"/>
    </xf>
    <xf numFmtId="0" fontId="5" fillId="15" borderId="3" xfId="0" applyFont="1" applyFill="1" applyBorder="1" applyAlignment="1">
      <alignment horizontal="center" vertical="center" wrapText="1"/>
    </xf>
    <xf numFmtId="0" fontId="5" fillId="15" borderId="4" xfId="0" applyFont="1" applyFill="1" applyBorder="1" applyAlignment="1">
      <alignment horizontal="center" vertical="center" wrapText="1"/>
    </xf>
    <xf numFmtId="0" fontId="5" fillId="15" borderId="5" xfId="0" applyFont="1" applyFill="1" applyBorder="1" applyAlignment="1">
      <alignment horizontal="center" vertical="center" wrapText="1"/>
    </xf>
    <xf numFmtId="0" fontId="6" fillId="15" borderId="3" xfId="0" applyFont="1" applyFill="1" applyBorder="1" applyAlignment="1">
      <alignment horizontal="center" vertical="center" wrapText="1"/>
    </xf>
    <xf numFmtId="0" fontId="6" fillId="15" borderId="4" xfId="0" applyFont="1" applyFill="1" applyBorder="1" applyAlignment="1">
      <alignment horizontal="center" vertical="center" wrapText="1"/>
    </xf>
    <xf numFmtId="0" fontId="6" fillId="15" borderId="5" xfId="0" applyFont="1" applyFill="1" applyBorder="1" applyAlignment="1">
      <alignment horizontal="center" vertical="center" wrapText="1"/>
    </xf>
    <xf numFmtId="14" fontId="1" fillId="18" borderId="73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74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75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73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74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75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7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7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75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73" xfId="0" applyNumberFormat="1" applyFont="1" applyFill="1" applyBorder="1" applyAlignment="1">
      <alignment horizontal="center" vertical="center" wrapText="1"/>
    </xf>
    <xf numFmtId="4" fontId="1" fillId="18" borderId="74" xfId="0" applyNumberFormat="1" applyFont="1" applyFill="1" applyBorder="1" applyAlignment="1">
      <alignment horizontal="center" vertical="center" wrapText="1"/>
    </xf>
    <xf numFmtId="4" fontId="1" fillId="18" borderId="75" xfId="0" applyNumberFormat="1" applyFont="1" applyFill="1" applyBorder="1" applyAlignment="1">
      <alignment horizontal="center" vertical="center" wrapText="1"/>
    </xf>
    <xf numFmtId="49" fontId="1" fillId="18" borderId="73" xfId="0" applyNumberFormat="1" applyFont="1" applyFill="1" applyBorder="1" applyAlignment="1">
      <alignment horizontal="center" vertical="center" wrapText="1"/>
    </xf>
    <xf numFmtId="49" fontId="1" fillId="18" borderId="74" xfId="0" applyNumberFormat="1" applyFont="1" applyFill="1" applyBorder="1" applyAlignment="1">
      <alignment horizontal="center" vertical="center" wrapText="1"/>
    </xf>
    <xf numFmtId="49" fontId="1" fillId="18" borderId="75" xfId="0" applyNumberFormat="1" applyFont="1" applyFill="1" applyBorder="1" applyAlignment="1">
      <alignment horizontal="center" vertical="center" wrapText="1"/>
    </xf>
    <xf numFmtId="168" fontId="1" fillId="18" borderId="73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74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75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73" xfId="0" applyFont="1" applyFill="1" applyBorder="1" applyAlignment="1" applyProtection="1">
      <alignment horizontal="center" vertical="center" wrapText="1"/>
      <protection locked="0"/>
    </xf>
    <xf numFmtId="0" fontId="1" fillId="18" borderId="74" xfId="0" applyFont="1" applyFill="1" applyBorder="1" applyAlignment="1" applyProtection="1">
      <alignment horizontal="center" vertical="center" wrapText="1"/>
      <protection locked="0"/>
    </xf>
    <xf numFmtId="0" fontId="1" fillId="18" borderId="75" xfId="0" applyFont="1" applyFill="1" applyBorder="1" applyAlignment="1" applyProtection="1">
      <alignment horizontal="center" vertical="center" wrapText="1"/>
      <protection locked="0"/>
    </xf>
    <xf numFmtId="0" fontId="1" fillId="18" borderId="73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74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75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73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74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75" xfId="0" applyNumberFormat="1" applyFont="1" applyFill="1" applyBorder="1" applyAlignment="1" applyProtection="1">
      <alignment horizontal="center" vertical="center" wrapText="1"/>
      <protection locked="0"/>
    </xf>
    <xf numFmtId="49" fontId="1" fillId="4" borderId="73" xfId="0" applyNumberFormat="1" applyFont="1" applyFill="1" applyBorder="1" applyAlignment="1" applyProtection="1">
      <alignment horizontal="center" vertical="center" wrapText="1"/>
      <protection locked="0"/>
    </xf>
    <xf numFmtId="49" fontId="1" fillId="4" borderId="74" xfId="0" applyNumberFormat="1" applyFont="1" applyFill="1" applyBorder="1" applyAlignment="1" applyProtection="1">
      <alignment horizontal="center" vertical="center" wrapText="1"/>
      <protection locked="0"/>
    </xf>
    <xf numFmtId="49" fontId="1" fillId="4" borderId="75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69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70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71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69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70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71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69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70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7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69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7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7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69" xfId="0" applyNumberFormat="1" applyFont="1" applyFill="1" applyBorder="1" applyAlignment="1">
      <alignment horizontal="center" vertical="center" wrapText="1"/>
    </xf>
    <xf numFmtId="4" fontId="1" fillId="18" borderId="70" xfId="0" applyNumberFormat="1" applyFont="1" applyFill="1" applyBorder="1" applyAlignment="1">
      <alignment horizontal="center" vertical="center" wrapText="1"/>
    </xf>
    <xf numFmtId="4" fontId="1" fillId="18" borderId="71" xfId="0" applyNumberFormat="1" applyFont="1" applyFill="1" applyBorder="1" applyAlignment="1">
      <alignment horizontal="center" vertical="center" wrapText="1"/>
    </xf>
    <xf numFmtId="0" fontId="1" fillId="0" borderId="69" xfId="0" applyFont="1" applyBorder="1" applyAlignment="1" applyProtection="1">
      <alignment horizontal="center" vertical="center"/>
      <protection locked="0"/>
    </xf>
    <xf numFmtId="0" fontId="1" fillId="0" borderId="70" xfId="0" applyFont="1" applyBorder="1" applyAlignment="1" applyProtection="1">
      <alignment horizontal="center" vertical="center"/>
      <protection locked="0"/>
    </xf>
    <xf numFmtId="0" fontId="1" fillId="0" borderId="71" xfId="0" applyFont="1" applyBorder="1" applyAlignment="1" applyProtection="1">
      <alignment horizontal="center" vertical="center"/>
      <protection locked="0"/>
    </xf>
    <xf numFmtId="49" fontId="1" fillId="18" borderId="69" xfId="0" applyNumberFormat="1" applyFont="1" applyFill="1" applyBorder="1" applyAlignment="1">
      <alignment horizontal="center" vertical="center" wrapText="1"/>
    </xf>
    <xf numFmtId="49" fontId="1" fillId="18" borderId="70" xfId="0" applyNumberFormat="1" applyFont="1" applyFill="1" applyBorder="1" applyAlignment="1">
      <alignment horizontal="center" vertical="center" wrapText="1"/>
    </xf>
    <xf numFmtId="49" fontId="1" fillId="18" borderId="71" xfId="0" applyNumberFormat="1" applyFont="1" applyFill="1" applyBorder="1" applyAlignment="1">
      <alignment horizontal="center" vertical="center" wrapText="1"/>
    </xf>
    <xf numFmtId="168" fontId="1" fillId="18" borderId="69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70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71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69" xfId="0" applyFont="1" applyFill="1" applyBorder="1" applyAlignment="1" applyProtection="1">
      <alignment horizontal="center" vertical="center" wrapText="1"/>
      <protection locked="0"/>
    </xf>
    <xf numFmtId="0" fontId="1" fillId="18" borderId="70" xfId="0" applyFont="1" applyFill="1" applyBorder="1" applyAlignment="1" applyProtection="1">
      <alignment horizontal="center" vertical="center" wrapText="1"/>
      <protection locked="0"/>
    </xf>
    <xf numFmtId="0" fontId="1" fillId="18" borderId="71" xfId="0" applyFont="1" applyFill="1" applyBorder="1" applyAlignment="1" applyProtection="1">
      <alignment horizontal="center" vertical="center" wrapText="1"/>
      <protection locked="0"/>
    </xf>
    <xf numFmtId="49" fontId="1" fillId="18" borderId="35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8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5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8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5" xfId="0" applyNumberFormat="1" applyFont="1" applyFill="1" applyBorder="1" applyAlignment="1">
      <alignment horizontal="center" vertical="center" wrapText="1"/>
    </xf>
    <xf numFmtId="4" fontId="1" fillId="18" borderId="38" xfId="0" applyNumberFormat="1" applyFont="1" applyFill="1" applyBorder="1" applyAlignment="1">
      <alignment horizontal="center" vertical="center" wrapText="1"/>
    </xf>
    <xf numFmtId="165" fontId="1" fillId="18" borderId="69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70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7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0" xfId="0" applyNumberFormat="1" applyFont="1" applyFill="1" applyBorder="1" applyAlignment="1">
      <alignment horizontal="center" vertical="center" wrapText="1"/>
    </xf>
    <xf numFmtId="4" fontId="1" fillId="18" borderId="21" xfId="0" applyNumberFormat="1" applyFont="1" applyFill="1" applyBorder="1" applyAlignment="1">
      <alignment horizontal="center" vertical="center" wrapText="1"/>
    </xf>
    <xf numFmtId="4" fontId="1" fillId="18" borderId="22" xfId="0" applyNumberFormat="1" applyFont="1" applyFill="1" applyBorder="1" applyAlignment="1">
      <alignment horizontal="center" vertical="center" wrapText="1"/>
    </xf>
    <xf numFmtId="49" fontId="1" fillId="18" borderId="20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1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14" fontId="1" fillId="4" borderId="69" xfId="0" applyNumberFormat="1" applyFont="1" applyFill="1" applyBorder="1" applyAlignment="1" applyProtection="1">
      <alignment horizontal="center" vertical="center" wrapText="1"/>
      <protection locked="0"/>
    </xf>
    <xf numFmtId="14" fontId="1" fillId="4" borderId="70" xfId="0" applyNumberFormat="1" applyFont="1" applyFill="1" applyBorder="1" applyAlignment="1" applyProtection="1">
      <alignment horizontal="center" vertical="center" wrapText="1"/>
      <protection locked="0"/>
    </xf>
    <xf numFmtId="14" fontId="1" fillId="4" borderId="71" xfId="0" applyNumberFormat="1" applyFont="1" applyFill="1" applyBorder="1" applyAlignment="1" applyProtection="1">
      <alignment horizontal="center" vertical="center" wrapText="1"/>
      <protection locked="0"/>
    </xf>
    <xf numFmtId="14" fontId="1" fillId="4" borderId="73" xfId="0" applyNumberFormat="1" applyFont="1" applyFill="1" applyBorder="1" applyAlignment="1" applyProtection="1">
      <alignment horizontal="center" vertical="center" wrapText="1"/>
      <protection locked="0"/>
    </xf>
    <xf numFmtId="14" fontId="1" fillId="4" borderId="74" xfId="0" applyNumberFormat="1" applyFont="1" applyFill="1" applyBorder="1" applyAlignment="1" applyProtection="1">
      <alignment horizontal="center" vertical="center" wrapText="1"/>
      <protection locked="0"/>
    </xf>
    <xf numFmtId="14" fontId="1" fillId="4" borderId="75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>
      <alignment horizontal="center" vertical="center" wrapText="1"/>
    </xf>
    <xf numFmtId="0" fontId="1" fillId="10" borderId="3" xfId="0" applyFont="1" applyFill="1" applyBorder="1" applyAlignment="1">
      <alignment horizontal="center" vertical="center" wrapText="1"/>
    </xf>
    <xf numFmtId="0" fontId="1" fillId="10" borderId="4" xfId="0" applyFont="1" applyFill="1" applyBorder="1" applyAlignment="1">
      <alignment horizontal="center" vertical="center" wrapText="1"/>
    </xf>
    <xf numFmtId="0" fontId="1" fillId="10" borderId="5" xfId="0" applyFont="1" applyFill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49" fontId="1" fillId="4" borderId="69" xfId="0" applyNumberFormat="1" applyFont="1" applyFill="1" applyBorder="1" applyAlignment="1" applyProtection="1">
      <alignment horizontal="center" vertical="center" wrapText="1"/>
      <protection locked="0"/>
    </xf>
    <xf numFmtId="49" fontId="1" fillId="4" borderId="70" xfId="0" applyNumberFormat="1" applyFont="1" applyFill="1" applyBorder="1" applyAlignment="1" applyProtection="1">
      <alignment horizontal="center" vertical="center" wrapText="1"/>
      <protection locked="0"/>
    </xf>
    <xf numFmtId="49" fontId="1" fillId="4" borderId="71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0" xfId="0" applyNumberFormat="1" applyFont="1" applyFill="1" applyBorder="1" applyAlignment="1">
      <alignment horizontal="center" vertical="center" wrapText="1"/>
    </xf>
    <xf numFmtId="49" fontId="1" fillId="18" borderId="21" xfId="0" applyNumberFormat="1" applyFont="1" applyFill="1" applyBorder="1" applyAlignment="1">
      <alignment horizontal="center" vertical="center" wrapText="1"/>
    </xf>
    <xf numFmtId="49" fontId="1" fillId="18" borderId="22" xfId="0" applyNumberFormat="1" applyFont="1" applyFill="1" applyBorder="1" applyAlignment="1">
      <alignment horizontal="center" vertical="center" wrapText="1"/>
    </xf>
    <xf numFmtId="49" fontId="1" fillId="4" borderId="20" xfId="0" applyNumberFormat="1" applyFont="1" applyFill="1" applyBorder="1" applyAlignment="1" applyProtection="1">
      <alignment horizontal="center" vertical="center" wrapText="1"/>
      <protection locked="0"/>
    </xf>
    <xf numFmtId="49" fontId="1" fillId="4" borderId="21" xfId="0" applyNumberFormat="1" applyFont="1" applyFill="1" applyBorder="1" applyAlignment="1" applyProtection="1">
      <alignment horizontal="center" vertical="center" wrapText="1"/>
      <protection locked="0"/>
    </xf>
    <xf numFmtId="49" fontId="1" fillId="4" borderId="22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20" xfId="0" applyFont="1" applyFill="1" applyBorder="1" applyAlignment="1" applyProtection="1">
      <alignment horizontal="center" vertical="center" wrapText="1"/>
      <protection locked="0"/>
    </xf>
    <xf numFmtId="0" fontId="1" fillId="18" borderId="21" xfId="0" applyFont="1" applyFill="1" applyBorder="1" applyAlignment="1" applyProtection="1">
      <alignment horizontal="center" vertical="center" wrapText="1"/>
      <protection locked="0"/>
    </xf>
    <xf numFmtId="0" fontId="1" fillId="18" borderId="22" xfId="0" applyFont="1" applyFill="1" applyBorder="1" applyAlignment="1" applyProtection="1">
      <alignment horizontal="center" vertical="center" wrapText="1"/>
      <protection locked="0"/>
    </xf>
    <xf numFmtId="165" fontId="1" fillId="18" borderId="20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1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0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1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14" fontId="1" fillId="4" borderId="20" xfId="0" applyNumberFormat="1" applyFont="1" applyFill="1" applyBorder="1" applyAlignment="1" applyProtection="1">
      <alignment horizontal="center" vertical="center" wrapText="1"/>
      <protection locked="0"/>
    </xf>
    <xf numFmtId="14" fontId="1" fillId="4" borderId="21" xfId="0" applyNumberFormat="1" applyFont="1" applyFill="1" applyBorder="1" applyAlignment="1" applyProtection="1">
      <alignment horizontal="center" vertical="center" wrapText="1"/>
      <protection locked="0"/>
    </xf>
    <xf numFmtId="14" fontId="1" fillId="4" borderId="22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20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21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57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58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3" xfId="0" applyNumberFormat="1" applyFont="1" applyFill="1" applyBorder="1" applyAlignment="1">
      <alignment horizontal="center" vertical="center" wrapText="1"/>
    </xf>
    <xf numFmtId="49" fontId="1" fillId="18" borderId="45" xfId="0" applyNumberFormat="1" applyFont="1" applyFill="1" applyBorder="1" applyAlignment="1">
      <alignment horizontal="center" vertical="center" wrapText="1"/>
    </xf>
    <xf numFmtId="14" fontId="1" fillId="18" borderId="43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45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5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3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5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43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45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43" xfId="0" applyFont="1" applyFill="1" applyBorder="1" applyAlignment="1" applyProtection="1">
      <alignment horizontal="center" vertical="center" wrapText="1"/>
      <protection locked="0"/>
    </xf>
    <xf numFmtId="0" fontId="1" fillId="18" borderId="45" xfId="0" applyFont="1" applyFill="1" applyBorder="1" applyAlignment="1" applyProtection="1">
      <alignment horizontal="center" vertical="center" wrapText="1"/>
      <protection locked="0"/>
    </xf>
    <xf numFmtId="0" fontId="1" fillId="18" borderId="43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45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3" xfId="0" applyNumberFormat="1" applyFont="1" applyFill="1" applyBorder="1" applyAlignment="1">
      <alignment horizontal="center" vertical="center" wrapText="1"/>
    </xf>
    <xf numFmtId="4" fontId="1" fillId="18" borderId="45" xfId="0" applyNumberFormat="1" applyFont="1" applyFill="1" applyBorder="1" applyAlignment="1">
      <alignment horizontal="center" vertical="center" wrapText="1"/>
    </xf>
    <xf numFmtId="168" fontId="1" fillId="18" borderId="35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38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36" xfId="0" applyFont="1" applyFill="1" applyBorder="1" applyAlignment="1" applyProtection="1">
      <alignment horizontal="center" vertical="center" wrapText="1"/>
      <protection locked="0"/>
    </xf>
    <xf numFmtId="0" fontId="1" fillId="18" borderId="39" xfId="0" applyFont="1" applyFill="1" applyBorder="1" applyAlignment="1" applyProtection="1">
      <alignment horizontal="center" vertical="center" wrapText="1"/>
      <protection locked="0"/>
    </xf>
    <xf numFmtId="0" fontId="1" fillId="18" borderId="35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38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35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38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60" xfId="0" applyFont="1" applyFill="1" applyBorder="1" applyAlignment="1" applyProtection="1">
      <alignment horizontal="center" vertical="center" wrapText="1"/>
      <protection locked="0"/>
    </xf>
    <xf numFmtId="0" fontId="1" fillId="18" borderId="62" xfId="0" applyFont="1" applyFill="1" applyBorder="1" applyAlignment="1" applyProtection="1">
      <alignment horizontal="center" vertical="center" wrapText="1"/>
      <protection locked="0"/>
    </xf>
    <xf numFmtId="49" fontId="1" fillId="18" borderId="60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62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60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62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60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6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6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6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60" xfId="0" applyNumberFormat="1" applyFont="1" applyFill="1" applyBorder="1" applyAlignment="1">
      <alignment horizontal="center" vertical="center" wrapText="1"/>
    </xf>
    <xf numFmtId="4" fontId="1" fillId="18" borderId="62" xfId="0" applyNumberFormat="1" applyFont="1" applyFill="1" applyBorder="1" applyAlignment="1">
      <alignment horizontal="center" vertical="center" wrapText="1"/>
    </xf>
    <xf numFmtId="168" fontId="1" fillId="18" borderId="57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58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57" xfId="0" applyFont="1" applyFill="1" applyBorder="1" applyAlignment="1" applyProtection="1">
      <alignment horizontal="center" vertical="center" wrapText="1"/>
      <protection locked="0"/>
    </xf>
    <xf numFmtId="0" fontId="1" fillId="18" borderId="58" xfId="0" applyFont="1" applyFill="1" applyBorder="1" applyAlignment="1" applyProtection="1">
      <alignment horizontal="center" vertical="center" wrapText="1"/>
      <protection locked="0"/>
    </xf>
    <xf numFmtId="0" fontId="1" fillId="18" borderId="57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58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57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58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7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8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7" xfId="0" applyNumberFormat="1" applyFont="1" applyFill="1" applyBorder="1" applyAlignment="1">
      <alignment horizontal="center" vertical="center" wrapText="1"/>
    </xf>
    <xf numFmtId="4" fontId="1" fillId="18" borderId="58" xfId="0" applyNumberFormat="1" applyFont="1" applyFill="1" applyBorder="1" applyAlignment="1">
      <alignment horizontal="center" vertical="center" wrapText="1"/>
    </xf>
    <xf numFmtId="49" fontId="1" fillId="18" borderId="34" xfId="0" applyNumberFormat="1" applyFont="1" applyFill="1" applyBorder="1" applyAlignment="1">
      <alignment horizontal="center" vertical="center" wrapText="1"/>
    </xf>
    <xf numFmtId="49" fontId="1" fillId="18" borderId="37" xfId="0" applyNumberFormat="1" applyFont="1" applyFill="1" applyBorder="1" applyAlignment="1">
      <alignment horizontal="center" vertical="center" wrapText="1"/>
    </xf>
    <xf numFmtId="49" fontId="1" fillId="18" borderId="60" xfId="0" applyNumberFormat="1" applyFont="1" applyFill="1" applyBorder="1" applyAlignment="1">
      <alignment horizontal="center" vertical="center" wrapText="1"/>
    </xf>
    <xf numFmtId="49" fontId="1" fillId="18" borderId="62" xfId="0" applyNumberFormat="1" applyFont="1" applyFill="1" applyBorder="1" applyAlignment="1">
      <alignment horizontal="center" vertical="center" wrapText="1"/>
    </xf>
    <xf numFmtId="168" fontId="1" fillId="18" borderId="60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62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57" xfId="0" applyNumberFormat="1" applyFont="1" applyFill="1" applyBorder="1" applyAlignment="1">
      <alignment horizontal="center" vertical="center" wrapText="1"/>
    </xf>
    <xf numFmtId="49" fontId="1" fillId="18" borderId="58" xfId="0" applyNumberFormat="1" applyFont="1" applyFill="1" applyBorder="1" applyAlignment="1">
      <alignment horizontal="center" vertical="center" wrapText="1"/>
    </xf>
    <xf numFmtId="167" fontId="1" fillId="18" borderId="73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74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75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73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74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75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73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74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75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69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71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69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71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69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71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44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43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44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45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4" xfId="0" applyNumberFormat="1" applyFont="1" applyFill="1" applyBorder="1" applyAlignment="1">
      <alignment horizontal="center" vertical="center" wrapText="1"/>
    </xf>
    <xf numFmtId="167" fontId="1" fillId="18" borderId="43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44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45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43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44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45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1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0" xfId="0" applyNumberFormat="1" applyFont="1" applyFill="1" applyBorder="1" applyAlignment="1">
      <alignment horizontal="center" vertical="center" wrapText="1"/>
    </xf>
    <xf numFmtId="14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35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38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44" xfId="0" applyFont="1" applyFill="1" applyBorder="1" applyAlignment="1" applyProtection="1">
      <alignment horizontal="center" vertical="center" wrapText="1"/>
      <protection locked="0"/>
    </xf>
    <xf numFmtId="165" fontId="1" fillId="18" borderId="35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38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1" xfId="0" applyNumberFormat="1" applyFont="1" applyFill="1" applyBorder="1" applyAlignment="1">
      <alignment horizontal="center" vertical="center" wrapText="1"/>
    </xf>
    <xf numFmtId="49" fontId="1" fillId="18" borderId="44" xfId="0" applyNumberFormat="1" applyFont="1" applyFill="1" applyBorder="1" applyAlignment="1">
      <alignment horizontal="center" vertical="center" wrapText="1"/>
    </xf>
    <xf numFmtId="49" fontId="1" fillId="18" borderId="44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43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44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45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42" xfId="0" applyFont="1" applyFill="1" applyBorder="1" applyAlignment="1" applyProtection="1">
      <alignment horizontal="center" vertical="center" wrapText="1"/>
      <protection locked="0"/>
    </xf>
    <xf numFmtId="167" fontId="1" fillId="18" borderId="35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38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35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38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26" xfId="0" applyFont="1" applyFill="1" applyBorder="1" applyAlignment="1" applyProtection="1">
      <alignment horizontal="center" vertical="center" wrapText="1"/>
      <protection locked="0"/>
    </xf>
    <xf numFmtId="0" fontId="1" fillId="18" borderId="32" xfId="0" applyFont="1" applyFill="1" applyBorder="1" applyAlignment="1" applyProtection="1">
      <alignment horizontal="center" vertical="center" wrapText="1"/>
      <protection locked="0"/>
    </xf>
    <xf numFmtId="0" fontId="1" fillId="18" borderId="29" xfId="0" applyFont="1" applyFill="1" applyBorder="1" applyAlignment="1" applyProtection="1">
      <alignment horizontal="center" vertical="center" wrapText="1"/>
      <protection locked="0"/>
    </xf>
    <xf numFmtId="14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31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31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5" xfId="0" applyNumberFormat="1" applyFont="1" applyFill="1" applyBorder="1" applyAlignment="1">
      <alignment horizontal="center" vertical="center" wrapText="1"/>
    </xf>
    <xf numFmtId="4" fontId="1" fillId="18" borderId="31" xfId="0" applyNumberFormat="1" applyFont="1" applyFill="1" applyBorder="1" applyAlignment="1">
      <alignment horizontal="center" vertical="center" wrapText="1"/>
    </xf>
    <xf numFmtId="4" fontId="1" fillId="18" borderId="28" xfId="0" applyNumberFormat="1" applyFont="1" applyFill="1" applyBorder="1" applyAlignment="1">
      <alignment horizontal="center" vertical="center" wrapText="1"/>
    </xf>
    <xf numFmtId="167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31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31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31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49" fontId="1" fillId="10" borderId="3" xfId="0" applyNumberFormat="1" applyFont="1" applyFill="1" applyBorder="1" applyAlignment="1">
      <alignment horizontal="center" vertical="center" wrapText="1"/>
    </xf>
    <xf numFmtId="49" fontId="1" fillId="10" borderId="5" xfId="0" applyNumberFormat="1" applyFont="1" applyFill="1" applyBorder="1" applyAlignment="1">
      <alignment horizontal="center" vertical="center" wrapText="1"/>
    </xf>
    <xf numFmtId="49" fontId="1" fillId="18" borderId="47" xfId="0" applyNumberFormat="1" applyFont="1" applyFill="1" applyBorder="1" applyAlignment="1">
      <alignment horizontal="center" vertical="center" wrapText="1"/>
    </xf>
    <xf numFmtId="49" fontId="1" fillId="18" borderId="48" xfId="0" applyNumberFormat="1" applyFont="1" applyFill="1" applyBorder="1" applyAlignment="1">
      <alignment horizontal="center" vertical="center" wrapText="1"/>
    </xf>
    <xf numFmtId="49" fontId="1" fillId="18" borderId="49" xfId="0" applyNumberFormat="1" applyFont="1" applyFill="1" applyBorder="1" applyAlignment="1">
      <alignment horizontal="center" vertical="center" wrapText="1"/>
    </xf>
    <xf numFmtId="14" fontId="1" fillId="18" borderId="47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48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49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7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8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9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7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8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9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4" xfId="0" applyNumberFormat="1" applyFont="1" applyFill="1" applyBorder="1" applyAlignment="1">
      <alignment horizontal="center" vertical="center" wrapText="1"/>
    </xf>
    <xf numFmtId="49" fontId="1" fillId="18" borderId="30" xfId="0" applyNumberFormat="1" applyFont="1" applyFill="1" applyBorder="1" applyAlignment="1">
      <alignment horizontal="center" vertical="center" wrapText="1"/>
    </xf>
    <xf numFmtId="49" fontId="1" fillId="18" borderId="27" xfId="0" applyNumberFormat="1" applyFont="1" applyFill="1" applyBorder="1" applyAlignment="1">
      <alignment horizontal="center" vertical="center" wrapText="1"/>
    </xf>
    <xf numFmtId="49" fontId="1" fillId="18" borderId="59" xfId="0" applyNumberFormat="1" applyFont="1" applyFill="1" applyBorder="1" applyAlignment="1">
      <alignment horizontal="center" vertical="center" wrapText="1"/>
    </xf>
    <xf numFmtId="49" fontId="1" fillId="18" borderId="59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47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48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49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47" xfId="0" applyFont="1" applyFill="1" applyBorder="1" applyAlignment="1" applyProtection="1">
      <alignment horizontal="center" vertical="center" wrapText="1"/>
      <protection locked="0"/>
    </xf>
    <xf numFmtId="0" fontId="1" fillId="18" borderId="48" xfId="0" applyFont="1" applyFill="1" applyBorder="1" applyAlignment="1" applyProtection="1">
      <alignment horizontal="center" vertical="center" wrapText="1"/>
      <protection locked="0"/>
    </xf>
    <xf numFmtId="0" fontId="1" fillId="18" borderId="49" xfId="0" applyFont="1" applyFill="1" applyBorder="1" applyAlignment="1" applyProtection="1">
      <alignment horizontal="center" vertical="center" wrapText="1"/>
      <protection locked="0"/>
    </xf>
    <xf numFmtId="165" fontId="1" fillId="18" borderId="47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48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49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7" xfId="0" applyNumberFormat="1" applyFont="1" applyFill="1" applyBorder="1" applyAlignment="1">
      <alignment horizontal="center" vertical="center" wrapText="1"/>
    </xf>
    <xf numFmtId="4" fontId="1" fillId="18" borderId="48" xfId="0" applyNumberFormat="1" applyFont="1" applyFill="1" applyBorder="1" applyAlignment="1">
      <alignment horizontal="center" vertical="center" wrapText="1"/>
    </xf>
    <xf numFmtId="4" fontId="1" fillId="18" borderId="49" xfId="0" applyNumberFormat="1" applyFont="1" applyFill="1" applyBorder="1" applyAlignment="1">
      <alignment horizontal="center" vertical="center" wrapText="1"/>
    </xf>
    <xf numFmtId="167" fontId="1" fillId="18" borderId="47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48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49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47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48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49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57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58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57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58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57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58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59" xfId="0" applyFont="1" applyFill="1" applyBorder="1" applyAlignment="1" applyProtection="1">
      <alignment horizontal="center" vertical="center" wrapText="1"/>
      <protection locked="0"/>
    </xf>
    <xf numFmtId="14" fontId="1" fillId="18" borderId="59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59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9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9" xfId="0" applyNumberFormat="1" applyFont="1" applyFill="1" applyBorder="1" applyAlignment="1">
      <alignment horizontal="center" vertical="center" wrapText="1"/>
    </xf>
    <xf numFmtId="167" fontId="1" fillId="18" borderId="59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59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57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59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58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61" xfId="0" applyNumberFormat="1" applyFont="1" applyFill="1" applyBorder="1" applyAlignment="1">
      <alignment horizontal="center" vertical="center" wrapText="1"/>
    </xf>
    <xf numFmtId="14" fontId="1" fillId="18" borderId="6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61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61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60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61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62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61" xfId="0" applyFont="1" applyFill="1" applyBorder="1" applyAlignment="1" applyProtection="1">
      <alignment horizontal="center" vertical="center" wrapText="1"/>
      <protection locked="0"/>
    </xf>
    <xf numFmtId="165" fontId="1" fillId="18" borderId="60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61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6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61" xfId="0" applyNumberFormat="1" applyFont="1" applyFill="1" applyBorder="1" applyAlignment="1">
      <alignment horizontal="center" vertical="center" wrapText="1"/>
    </xf>
    <xf numFmtId="167" fontId="1" fillId="18" borderId="60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61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62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60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61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62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64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65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66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64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65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66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6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65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66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64" xfId="0" applyFont="1" applyFill="1" applyBorder="1" applyAlignment="1" applyProtection="1">
      <alignment horizontal="center" vertical="center" wrapText="1"/>
      <protection locked="0"/>
    </xf>
    <xf numFmtId="0" fontId="1" fillId="18" borderId="65" xfId="0" applyFont="1" applyFill="1" applyBorder="1" applyAlignment="1" applyProtection="1">
      <alignment horizontal="center" vertical="center" wrapText="1"/>
      <protection locked="0"/>
    </xf>
    <xf numFmtId="0" fontId="1" fillId="18" borderId="66" xfId="0" applyFont="1" applyFill="1" applyBorder="1" applyAlignment="1" applyProtection="1">
      <alignment horizontal="center" vertical="center" wrapText="1"/>
      <protection locked="0"/>
    </xf>
    <xf numFmtId="14" fontId="1" fillId="18" borderId="64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65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66" xfId="0" applyNumberFormat="1" applyFont="1" applyFill="1" applyBorder="1" applyAlignment="1" applyProtection="1">
      <alignment horizontal="center" vertical="center" wrapText="1"/>
      <protection locked="0"/>
    </xf>
    <xf numFmtId="1" fontId="1" fillId="18" borderId="64" xfId="0" applyNumberFormat="1" applyFont="1" applyFill="1" applyBorder="1" applyAlignment="1" applyProtection="1">
      <alignment horizontal="center" vertical="center" wrapText="1"/>
      <protection locked="0"/>
    </xf>
    <xf numFmtId="1" fontId="1" fillId="18" borderId="65" xfId="0" applyNumberFormat="1" applyFont="1" applyFill="1" applyBorder="1" applyAlignment="1" applyProtection="1">
      <alignment horizontal="center" vertical="center" wrapText="1"/>
      <protection locked="0"/>
    </xf>
    <xf numFmtId="1" fontId="1" fillId="18" borderId="66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64" xfId="0" applyNumberFormat="1" applyFont="1" applyFill="1" applyBorder="1" applyAlignment="1">
      <alignment horizontal="center" vertical="center" wrapText="1"/>
    </xf>
    <xf numFmtId="49" fontId="1" fillId="18" borderId="65" xfId="0" applyNumberFormat="1" applyFont="1" applyFill="1" applyBorder="1" applyAlignment="1">
      <alignment horizontal="center" vertical="center" wrapText="1"/>
    </xf>
    <xf numFmtId="49" fontId="1" fillId="18" borderId="66" xfId="0" applyNumberFormat="1" applyFont="1" applyFill="1" applyBorder="1" applyAlignment="1">
      <alignment horizontal="center" vertical="center" wrapText="1"/>
    </xf>
    <xf numFmtId="4" fontId="1" fillId="18" borderId="64" xfId="0" applyNumberFormat="1" applyFont="1" applyFill="1" applyBorder="1" applyAlignment="1">
      <alignment horizontal="center" vertical="center" wrapText="1"/>
    </xf>
    <xf numFmtId="4" fontId="1" fillId="18" borderId="65" xfId="0" applyNumberFormat="1" applyFont="1" applyFill="1" applyBorder="1" applyAlignment="1">
      <alignment horizontal="center" vertical="center" wrapText="1"/>
    </xf>
    <xf numFmtId="4" fontId="1" fillId="18" borderId="66" xfId="0" applyNumberFormat="1" applyFont="1" applyFill="1" applyBorder="1" applyAlignment="1">
      <alignment horizontal="center" vertical="center" wrapText="1"/>
    </xf>
    <xf numFmtId="0" fontId="1" fillId="10" borderId="0" xfId="0" applyFont="1" applyFill="1" applyBorder="1" applyAlignment="1">
      <alignment horizontal="center" vertical="center" wrapText="1"/>
    </xf>
    <xf numFmtId="0" fontId="1" fillId="10" borderId="19" xfId="0" applyFont="1" applyFill="1" applyBorder="1" applyAlignment="1">
      <alignment horizontal="center" vertical="center" wrapText="1"/>
    </xf>
    <xf numFmtId="1" fontId="1" fillId="18" borderId="73" xfId="0" applyNumberFormat="1" applyFont="1" applyFill="1" applyBorder="1" applyAlignment="1" applyProtection="1">
      <alignment horizontal="center" vertical="center" wrapText="1"/>
      <protection locked="0"/>
    </xf>
    <xf numFmtId="1" fontId="1" fillId="18" borderId="74" xfId="0" applyNumberFormat="1" applyFont="1" applyFill="1" applyBorder="1" applyAlignment="1" applyProtection="1">
      <alignment horizontal="center" vertical="center" wrapText="1"/>
      <protection locked="0"/>
    </xf>
    <xf numFmtId="1" fontId="1" fillId="18" borderId="75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77" xfId="0" applyNumberFormat="1" applyFont="1" applyFill="1" applyBorder="1" applyAlignment="1">
      <alignment horizontal="center" vertical="center" wrapText="1"/>
    </xf>
    <xf numFmtId="4" fontId="1" fillId="18" borderId="80" xfId="0" applyNumberFormat="1" applyFont="1" applyFill="1" applyBorder="1" applyAlignment="1">
      <alignment horizontal="center" vertical="center" wrapText="1"/>
    </xf>
    <xf numFmtId="4" fontId="1" fillId="18" borderId="83" xfId="0" applyNumberFormat="1" applyFont="1" applyFill="1" applyBorder="1" applyAlignment="1">
      <alignment horizontal="center" vertical="center" wrapText="1"/>
    </xf>
    <xf numFmtId="49" fontId="1" fillId="18" borderId="77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80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8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77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8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83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78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81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84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77" xfId="0" applyFont="1" applyFill="1" applyBorder="1" applyAlignment="1" applyProtection="1">
      <alignment horizontal="center" vertical="center" wrapText="1"/>
      <protection locked="0"/>
    </xf>
    <xf numFmtId="0" fontId="1" fillId="18" borderId="80" xfId="0" applyFont="1" applyFill="1" applyBorder="1" applyAlignment="1" applyProtection="1">
      <alignment horizontal="center" vertical="center" wrapText="1"/>
      <protection locked="0"/>
    </xf>
    <xf numFmtId="0" fontId="1" fillId="18" borderId="83" xfId="0" applyFont="1" applyFill="1" applyBorder="1" applyAlignment="1" applyProtection="1">
      <alignment horizontal="center" vertical="center" wrapText="1"/>
      <protection locked="0"/>
    </xf>
    <xf numFmtId="14" fontId="1" fillId="18" borderId="77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80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83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76" xfId="0" applyNumberFormat="1" applyFont="1" applyFill="1" applyBorder="1" applyAlignment="1">
      <alignment horizontal="center" vertical="center" wrapText="1"/>
    </xf>
    <xf numFmtId="49" fontId="1" fillId="18" borderId="79" xfId="0" applyNumberFormat="1" applyFont="1" applyFill="1" applyBorder="1" applyAlignment="1">
      <alignment horizontal="center" vertical="center" wrapText="1"/>
    </xf>
    <xf numFmtId="49" fontId="1" fillId="18" borderId="82" xfId="0" applyNumberFormat="1" applyFont="1" applyFill="1" applyBorder="1" applyAlignment="1">
      <alignment horizontal="center" vertical="center" wrapText="1"/>
    </xf>
    <xf numFmtId="165" fontId="1" fillId="18" borderId="77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80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83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51" xfId="0" applyNumberFormat="1" applyFont="1" applyFill="1" applyBorder="1" applyAlignment="1">
      <alignment horizontal="center" vertical="center" wrapText="1"/>
    </xf>
    <xf numFmtId="49" fontId="1" fillId="18" borderId="54" xfId="0" applyNumberFormat="1" applyFont="1" applyFill="1" applyBorder="1" applyAlignment="1">
      <alignment horizontal="center" vertical="center" wrapText="1"/>
    </xf>
    <xf numFmtId="49" fontId="1" fillId="18" borderId="52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55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5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2" xfId="0" applyNumberFormat="1" applyFont="1" applyFill="1" applyBorder="1" applyAlignment="1">
      <alignment horizontal="center" vertical="center" wrapText="1"/>
    </xf>
    <xf numFmtId="4" fontId="1" fillId="18" borderId="55" xfId="0" applyNumberFormat="1" applyFont="1" applyFill="1" applyBorder="1" applyAlignment="1">
      <alignment horizontal="center" vertical="center" wrapText="1"/>
    </xf>
    <xf numFmtId="0" fontId="1" fillId="18" borderId="53" xfId="0" applyFont="1" applyFill="1" applyBorder="1" applyAlignment="1" applyProtection="1">
      <alignment horizontal="center" vertical="center" wrapText="1"/>
      <protection locked="0"/>
    </xf>
    <xf numFmtId="0" fontId="1" fillId="18" borderId="56" xfId="0" applyFont="1" applyFill="1" applyBorder="1" applyAlignment="1" applyProtection="1">
      <alignment horizontal="center" vertical="center" wrapText="1"/>
      <protection locked="0"/>
    </xf>
    <xf numFmtId="14" fontId="1" fillId="18" borderId="52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55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78" xfId="0" applyFont="1" applyFill="1" applyBorder="1" applyAlignment="1" applyProtection="1">
      <alignment horizontal="center" vertical="center" wrapText="1"/>
      <protection locked="0"/>
    </xf>
    <xf numFmtId="0" fontId="1" fillId="18" borderId="81" xfId="0" applyFont="1" applyFill="1" applyBorder="1" applyAlignment="1" applyProtection="1">
      <alignment horizontal="center" vertical="center" wrapText="1"/>
      <protection locked="0"/>
    </xf>
    <xf numFmtId="0" fontId="1" fillId="18" borderId="84" xfId="0" applyFont="1" applyFill="1" applyBorder="1" applyAlignment="1" applyProtection="1">
      <alignment horizontal="center" vertical="center" wrapText="1"/>
      <protection locked="0"/>
    </xf>
    <xf numFmtId="0" fontId="1" fillId="18" borderId="77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80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83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center" vertical="center" wrapText="1"/>
    </xf>
    <xf numFmtId="0" fontId="14" fillId="5" borderId="13" xfId="0" applyFont="1" applyFill="1" applyBorder="1" applyAlignment="1">
      <alignment horizontal="center" vertical="center" wrapText="1"/>
    </xf>
    <xf numFmtId="0" fontId="14" fillId="5" borderId="2" xfId="0" applyFont="1" applyFill="1" applyBorder="1" applyAlignment="1">
      <alignment horizontal="center" vertical="center" wrapText="1"/>
    </xf>
    <xf numFmtId="0" fontId="13" fillId="10" borderId="13" xfId="1" applyFont="1" applyFill="1" applyBorder="1" applyAlignment="1">
      <alignment horizontal="center" vertical="center" wrapText="1"/>
    </xf>
    <xf numFmtId="0" fontId="13" fillId="10" borderId="2" xfId="1" applyFont="1" applyFill="1" applyBorder="1" applyAlignment="1">
      <alignment horizontal="center" vertical="center" wrapText="1"/>
    </xf>
    <xf numFmtId="0" fontId="13" fillId="8" borderId="13" xfId="1" applyFont="1" applyFill="1" applyBorder="1" applyAlignment="1">
      <alignment horizontal="center" vertical="center" wrapText="1"/>
    </xf>
    <xf numFmtId="0" fontId="13" fillId="8" borderId="2" xfId="1" applyFont="1" applyFill="1" applyBorder="1" applyAlignment="1">
      <alignment horizontal="center" vertical="center" wrapText="1"/>
    </xf>
    <xf numFmtId="0" fontId="13" fillId="9" borderId="13" xfId="1" applyFont="1" applyFill="1" applyBorder="1" applyAlignment="1">
      <alignment horizontal="center" vertical="center" wrapText="1"/>
    </xf>
    <xf numFmtId="0" fontId="13" fillId="9" borderId="2" xfId="1" applyFont="1" applyFill="1" applyBorder="1" applyAlignment="1">
      <alignment horizontal="center" vertical="center" wrapText="1"/>
    </xf>
    <xf numFmtId="0" fontId="13" fillId="7" borderId="13" xfId="1" applyFont="1" applyFill="1" applyBorder="1" applyAlignment="1">
      <alignment horizontal="center" vertical="center" wrapText="1"/>
    </xf>
    <xf numFmtId="0" fontId="13" fillId="7" borderId="2" xfId="1" applyFont="1" applyFill="1" applyBorder="1" applyAlignment="1">
      <alignment horizontal="center" vertical="center" wrapText="1"/>
    </xf>
    <xf numFmtId="0" fontId="13" fillId="6" borderId="13" xfId="1" applyFont="1" applyFill="1" applyBorder="1" applyAlignment="1">
      <alignment horizontal="center" vertical="center" wrapText="1"/>
    </xf>
    <xf numFmtId="0" fontId="13" fillId="6" borderId="2" xfId="1" applyFont="1" applyFill="1" applyBorder="1" applyAlignment="1">
      <alignment horizontal="center" vertical="center" wrapText="1"/>
    </xf>
  </cellXfs>
  <cellStyles count="7">
    <cellStyle name="Гиперссылка" xfId="6" builtinId="8"/>
    <cellStyle name="Обычный" xfId="0" builtinId="0"/>
    <cellStyle name="Обычный 2" xfId="2"/>
    <cellStyle name="Обычный 2 2" xfId="5"/>
    <cellStyle name="Обычный 2 3" xfId="3"/>
    <cellStyle name="Обычный 3" xfId="1"/>
    <cellStyle name="Обычный 4" xfId="4"/>
  </cellStyles>
  <dxfs count="0"/>
  <tableStyles count="0" defaultTableStyle="TableStyleMedium2" defaultPivotStyle="PivotStyleLight16"/>
  <colors>
    <mruColors>
      <color rgb="FFFF9999"/>
      <color rgb="FFA30101"/>
      <color rgb="FFFF6D6D"/>
      <color rgb="FF00FF00"/>
      <color rgb="FF8FFF8F"/>
      <color rgb="FFAAFE22"/>
      <color rgb="FFCEFE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1828800</xdr:colOff>
      <xdr:row>2</xdr:row>
      <xdr:rowOff>238950</xdr:rowOff>
    </xdr:from>
    <xdr:to>
      <xdr:col>8</xdr:col>
      <xdr:colOff>673650</xdr:colOff>
      <xdr:row>3</xdr:row>
      <xdr:rowOff>495300</xdr:rowOff>
    </xdr:to>
    <xdr:sp macro="[0]!ДобавитьКонтрактП4" textlink="">
      <xdr:nvSpPr>
        <xdr:cNvPr id="2" name="Скругленный прямоугольник 1"/>
        <xdr:cNvSpPr>
          <a:spLocks/>
        </xdr:cNvSpPr>
      </xdr:nvSpPr>
      <xdr:spPr>
        <a:xfrm>
          <a:off x="10972800" y="1000950"/>
          <a:ext cx="5760000" cy="504000"/>
        </a:xfrm>
        <a:prstGeom prst="roundRect">
          <a:avLst/>
        </a:prstGeom>
        <a:gradFill>
          <a:gsLst>
            <a:gs pos="79000">
              <a:srgbClr val="92D050"/>
            </a:gs>
            <a:gs pos="100000">
              <a:schemeClr val="accent3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Добавить</a:t>
          </a:r>
          <a:r>
            <a:rPr lang="ru-RU" sz="3600" b="1" baseline="0">
              <a:solidFill>
                <a:schemeClr val="tx1"/>
              </a:solidFill>
            </a:rPr>
            <a:t> контракт</a:t>
          </a:r>
          <a:endParaRPr lang="ru-RU" sz="3600" b="1">
            <a:solidFill>
              <a:schemeClr val="tx1"/>
            </a:solidFill>
          </a:endParaRPr>
        </a:p>
      </xdr:txBody>
    </xdr:sp>
    <xdr:clientData fPrintsWithSheet="0"/>
  </xdr:twoCellAnchor>
  <xdr:oneCellAnchor>
    <xdr:from>
      <xdr:col>6</xdr:col>
      <xdr:colOff>467591</xdr:colOff>
      <xdr:row>4</xdr:row>
      <xdr:rowOff>69273</xdr:rowOff>
    </xdr:from>
    <xdr:ext cx="184731" cy="264560"/>
    <xdr:sp macro="" textlink="">
      <xdr:nvSpPr>
        <xdr:cNvPr id="3" name="TextBox 2"/>
        <xdr:cNvSpPr txBox="1"/>
      </xdr:nvSpPr>
      <xdr:spPr>
        <a:xfrm>
          <a:off x="11585864" y="1697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twoCellAnchor editAs="oneCell">
    <xdr:from>
      <xdr:col>16</xdr:col>
      <xdr:colOff>742950</xdr:colOff>
      <xdr:row>2</xdr:row>
      <xdr:rowOff>238950</xdr:rowOff>
    </xdr:from>
    <xdr:to>
      <xdr:col>19</xdr:col>
      <xdr:colOff>1579085</xdr:colOff>
      <xdr:row>3</xdr:row>
      <xdr:rowOff>495300</xdr:rowOff>
    </xdr:to>
    <xdr:sp macro="[0]!ДобавитьППАктП4" textlink="">
      <xdr:nvSpPr>
        <xdr:cNvPr id="4" name="Скругленный прямоугольник 3"/>
        <xdr:cNvSpPr/>
      </xdr:nvSpPr>
      <xdr:spPr>
        <a:xfrm>
          <a:off x="32061150" y="1000950"/>
          <a:ext cx="5760000" cy="504000"/>
        </a:xfrm>
        <a:prstGeom prst="roundRect">
          <a:avLst/>
        </a:prstGeom>
        <a:gradFill>
          <a:gsLst>
            <a:gs pos="79000">
              <a:srgbClr val="FFC000"/>
            </a:gs>
            <a:gs pos="100000">
              <a:schemeClr val="accent6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ru-RU" sz="3200" b="1">
              <a:solidFill>
                <a:schemeClr val="tx1"/>
              </a:solidFill>
            </a:rPr>
            <a:t>Добавить Акт/ПП</a:t>
          </a:r>
        </a:p>
      </xdr:txBody>
    </xdr:sp>
    <xdr:clientData/>
  </xdr:twoCellAnchor>
  <xdr:twoCellAnchor editAs="oneCell">
    <xdr:from>
      <xdr:col>10</xdr:col>
      <xdr:colOff>877800</xdr:colOff>
      <xdr:row>3</xdr:row>
      <xdr:rowOff>0</xdr:rowOff>
    </xdr:from>
    <xdr:to>
      <xdr:col>13</xdr:col>
      <xdr:colOff>541800</xdr:colOff>
      <xdr:row>4</xdr:row>
      <xdr:rowOff>535</xdr:rowOff>
    </xdr:to>
    <xdr:sp macro="[0]!УдалитьСтрокуП4" textlink="">
      <xdr:nvSpPr>
        <xdr:cNvPr id="5" name="Скругленный прямоугольник 4"/>
        <xdr:cNvSpPr/>
      </xdr:nvSpPr>
      <xdr:spPr>
        <a:xfrm>
          <a:off x="20651700" y="1009650"/>
          <a:ext cx="5760000" cy="504000"/>
        </a:xfrm>
        <a:prstGeom prst="roundRect">
          <a:avLst/>
        </a:prstGeom>
        <a:gradFill flip="none" rotWithShape="1">
          <a:gsLst>
            <a:gs pos="79000">
              <a:srgbClr val="FF6D6D"/>
            </a:gs>
            <a:gs pos="100000">
              <a:srgbClr val="A30101"/>
            </a:gs>
          </a:gsLst>
          <a:path path="shape">
            <a:fillToRect l="50000" t="50000" r="50000" b="50000"/>
          </a:path>
          <a:tileRect/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Удалить строку / контракт</a:t>
          </a:r>
          <a:r>
            <a:rPr lang="ru-RU" sz="3600" b="1" baseline="0">
              <a:solidFill>
                <a:schemeClr val="tx1"/>
              </a:solidFill>
            </a:rPr>
            <a:t> </a:t>
          </a:r>
          <a:endParaRPr lang="ru-RU" sz="3600" b="1">
            <a:solidFill>
              <a:schemeClr val="tx1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10</xdr:col>
      <xdr:colOff>349826</xdr:colOff>
      <xdr:row>3</xdr:row>
      <xdr:rowOff>6924</xdr:rowOff>
    </xdr:from>
    <xdr:to>
      <xdr:col>13</xdr:col>
      <xdr:colOff>1080626</xdr:colOff>
      <xdr:row>3</xdr:row>
      <xdr:rowOff>501399</xdr:rowOff>
    </xdr:to>
    <xdr:sp macro="[0]!УдалитьСтрокуП5" textlink="">
      <xdr:nvSpPr>
        <xdr:cNvPr id="3" name="Скругленный прямоугольник 2"/>
        <xdr:cNvSpPr/>
      </xdr:nvSpPr>
      <xdr:spPr>
        <a:xfrm>
          <a:off x="20142776" y="1016574"/>
          <a:ext cx="5760000" cy="494475"/>
        </a:xfrm>
        <a:prstGeom prst="roundRect">
          <a:avLst/>
        </a:prstGeom>
        <a:gradFill>
          <a:gsLst>
            <a:gs pos="79000">
              <a:srgbClr val="FF6D6D"/>
            </a:gs>
            <a:gs pos="100000">
              <a:srgbClr val="A30101"/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Удалить строку / контракт</a:t>
          </a:r>
        </a:p>
      </xdr:txBody>
    </xdr:sp>
    <xdr:clientData/>
  </xdr:twoCellAnchor>
  <xdr:twoCellAnchor editAs="absolute">
    <xdr:from>
      <xdr:col>6</xdr:col>
      <xdr:colOff>61478</xdr:colOff>
      <xdr:row>2</xdr:row>
      <xdr:rowOff>228600</xdr:rowOff>
    </xdr:from>
    <xdr:to>
      <xdr:col>8</xdr:col>
      <xdr:colOff>1420928</xdr:colOff>
      <xdr:row>3</xdr:row>
      <xdr:rowOff>484950</xdr:rowOff>
    </xdr:to>
    <xdr:sp macro="[0]!ДобавитьКонтрактП5" textlink="">
      <xdr:nvSpPr>
        <xdr:cNvPr id="4" name="Скругленный прямоугольник 3"/>
        <xdr:cNvSpPr/>
      </xdr:nvSpPr>
      <xdr:spPr>
        <a:xfrm>
          <a:off x="11415278" y="990600"/>
          <a:ext cx="5760000" cy="504000"/>
        </a:xfrm>
        <a:prstGeom prst="roundRect">
          <a:avLst/>
        </a:prstGeom>
        <a:gradFill>
          <a:gsLst>
            <a:gs pos="79000">
              <a:srgbClr val="92D050"/>
            </a:gs>
            <a:gs pos="100000">
              <a:schemeClr val="accent3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Добавить</a:t>
          </a:r>
          <a:r>
            <a:rPr lang="ru-RU" sz="3600" b="1" baseline="0">
              <a:solidFill>
                <a:schemeClr val="tx1"/>
              </a:solidFill>
            </a:rPr>
            <a:t> контракт</a:t>
          </a:r>
          <a:endParaRPr lang="ru-RU" sz="3600" b="1">
            <a:solidFill>
              <a:schemeClr val="tx1"/>
            </a:solidFill>
          </a:endParaRPr>
        </a:p>
      </xdr:txBody>
    </xdr:sp>
    <xdr:clientData/>
  </xdr:twoCellAnchor>
  <xdr:twoCellAnchor editAs="absolute">
    <xdr:from>
      <xdr:col>14</xdr:col>
      <xdr:colOff>2346612</xdr:colOff>
      <xdr:row>3</xdr:row>
      <xdr:rowOff>0</xdr:rowOff>
    </xdr:from>
    <xdr:to>
      <xdr:col>18</xdr:col>
      <xdr:colOff>619962</xdr:colOff>
      <xdr:row>3</xdr:row>
      <xdr:rowOff>509154</xdr:rowOff>
    </xdr:to>
    <xdr:sp macro="[0]!ДобавитьППАктП5" textlink="">
      <xdr:nvSpPr>
        <xdr:cNvPr id="5" name="Скругленный прямоугольник 4"/>
        <xdr:cNvSpPr/>
      </xdr:nvSpPr>
      <xdr:spPr>
        <a:xfrm>
          <a:off x="29054712" y="1009650"/>
          <a:ext cx="5760000" cy="509154"/>
        </a:xfrm>
        <a:prstGeom prst="roundRect">
          <a:avLst/>
        </a:prstGeom>
        <a:gradFill>
          <a:gsLst>
            <a:gs pos="79000">
              <a:srgbClr val="FFC000"/>
            </a:gs>
            <a:gs pos="100000">
              <a:schemeClr val="accent6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200" b="1">
              <a:solidFill>
                <a:schemeClr val="tx1"/>
              </a:solidFill>
            </a:rPr>
            <a:t>Добавить Акт/ПП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4</xdr:col>
      <xdr:colOff>12150</xdr:colOff>
      <xdr:row>3</xdr:row>
      <xdr:rowOff>0</xdr:rowOff>
    </xdr:from>
    <xdr:to>
      <xdr:col>6</xdr:col>
      <xdr:colOff>1771650</xdr:colOff>
      <xdr:row>3</xdr:row>
      <xdr:rowOff>507423</xdr:rowOff>
    </xdr:to>
    <xdr:sp macro="[0]!ДобавитьКонтрактSt93" textlink="">
      <xdr:nvSpPr>
        <xdr:cNvPr id="2" name="Скругленный прямоугольник 1"/>
        <xdr:cNvSpPr/>
      </xdr:nvSpPr>
      <xdr:spPr>
        <a:xfrm>
          <a:off x="6889200" y="1009650"/>
          <a:ext cx="5760000" cy="507423"/>
        </a:xfrm>
        <a:prstGeom prst="roundRect">
          <a:avLst/>
        </a:prstGeom>
        <a:gradFill>
          <a:gsLst>
            <a:gs pos="79000">
              <a:srgbClr val="92D050"/>
            </a:gs>
            <a:gs pos="100000">
              <a:schemeClr val="accent3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Добавить</a:t>
          </a:r>
          <a:r>
            <a:rPr lang="ru-RU" sz="3600" b="1" baseline="0">
              <a:solidFill>
                <a:schemeClr val="tx1"/>
              </a:solidFill>
            </a:rPr>
            <a:t> контракт</a:t>
          </a:r>
          <a:endParaRPr lang="ru-RU" sz="3600" b="1">
            <a:solidFill>
              <a:schemeClr val="tx1"/>
            </a:solidFill>
          </a:endParaRPr>
        </a:p>
      </xdr:txBody>
    </xdr:sp>
    <xdr:clientData/>
  </xdr:twoCellAnchor>
  <xdr:twoCellAnchor editAs="absolute">
    <xdr:from>
      <xdr:col>16</xdr:col>
      <xdr:colOff>0</xdr:colOff>
      <xdr:row>2</xdr:row>
      <xdr:rowOff>228600</xdr:rowOff>
    </xdr:from>
    <xdr:to>
      <xdr:col>19</xdr:col>
      <xdr:colOff>559350</xdr:colOff>
      <xdr:row>3</xdr:row>
      <xdr:rowOff>490104</xdr:rowOff>
    </xdr:to>
    <xdr:sp macro="[0]!ДобавитьППАктSt93" textlink="">
      <xdr:nvSpPr>
        <xdr:cNvPr id="5" name="Скругленный прямоугольник 4"/>
        <xdr:cNvSpPr/>
      </xdr:nvSpPr>
      <xdr:spPr>
        <a:xfrm>
          <a:off x="30346650" y="990600"/>
          <a:ext cx="5760000" cy="509154"/>
        </a:xfrm>
        <a:prstGeom prst="roundRect">
          <a:avLst/>
        </a:prstGeom>
        <a:gradFill>
          <a:gsLst>
            <a:gs pos="79000">
              <a:srgbClr val="FFC000"/>
            </a:gs>
            <a:gs pos="100000">
              <a:schemeClr val="accent6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200" b="1">
              <a:solidFill>
                <a:schemeClr val="tx1"/>
              </a:solidFill>
            </a:rPr>
            <a:t>Добавить Акт/ПП</a:t>
          </a:r>
        </a:p>
      </xdr:txBody>
    </xdr:sp>
    <xdr:clientData/>
  </xdr:twoCellAnchor>
  <xdr:twoCellAnchor editAs="absolute">
    <xdr:from>
      <xdr:col>11</xdr:col>
      <xdr:colOff>6926</xdr:colOff>
      <xdr:row>3</xdr:row>
      <xdr:rowOff>0</xdr:rowOff>
    </xdr:from>
    <xdr:to>
      <xdr:col>13</xdr:col>
      <xdr:colOff>680576</xdr:colOff>
      <xdr:row>3</xdr:row>
      <xdr:rowOff>507422</xdr:rowOff>
    </xdr:to>
    <xdr:sp macro="[0]!УдалитьСтрокуSt93" textlink="">
      <xdr:nvSpPr>
        <xdr:cNvPr id="6" name="Скругленный прямоугольник 5"/>
        <xdr:cNvSpPr/>
      </xdr:nvSpPr>
      <xdr:spPr>
        <a:xfrm>
          <a:off x="20352326" y="1009650"/>
          <a:ext cx="5760000" cy="507422"/>
        </a:xfrm>
        <a:prstGeom prst="roundRect">
          <a:avLst/>
        </a:prstGeom>
        <a:gradFill>
          <a:gsLst>
            <a:gs pos="79000">
              <a:srgbClr val="FF6D6D"/>
            </a:gs>
            <a:gs pos="100000">
              <a:srgbClr val="A30101"/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Удалить строку / контракт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564600</xdr:colOff>
      <xdr:row>3</xdr:row>
      <xdr:rowOff>29400</xdr:rowOff>
    </xdr:from>
    <xdr:to>
      <xdr:col>9</xdr:col>
      <xdr:colOff>1733550</xdr:colOff>
      <xdr:row>4</xdr:row>
      <xdr:rowOff>19050</xdr:rowOff>
    </xdr:to>
    <xdr:sp macro="[0]!ДобавитьКонтрактSEA" textlink="">
      <xdr:nvSpPr>
        <xdr:cNvPr id="2" name="Скругленный прямоугольник 1"/>
        <xdr:cNvSpPr/>
      </xdr:nvSpPr>
      <xdr:spPr>
        <a:xfrm>
          <a:off x="12909000" y="1039050"/>
          <a:ext cx="5760000" cy="504000"/>
        </a:xfrm>
        <a:prstGeom prst="roundRect">
          <a:avLst/>
        </a:prstGeom>
        <a:gradFill>
          <a:gsLst>
            <a:gs pos="79000">
              <a:srgbClr val="92D050"/>
            </a:gs>
            <a:gs pos="100000">
              <a:schemeClr val="accent3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Добавить</a:t>
          </a:r>
          <a:r>
            <a:rPr lang="ru-RU" sz="3600" b="1" baseline="0">
              <a:solidFill>
                <a:schemeClr val="tx1"/>
              </a:solidFill>
            </a:rPr>
            <a:t> контракт</a:t>
          </a:r>
          <a:endParaRPr lang="ru-RU" sz="3600" b="1">
            <a:solidFill>
              <a:schemeClr val="tx1"/>
            </a:solidFill>
          </a:endParaRPr>
        </a:p>
      </xdr:txBody>
    </xdr:sp>
    <xdr:clientData/>
  </xdr:twoCellAnchor>
  <xdr:twoCellAnchor editAs="absolute">
    <xdr:from>
      <xdr:col>13</xdr:col>
      <xdr:colOff>926550</xdr:colOff>
      <xdr:row>3</xdr:row>
      <xdr:rowOff>19050</xdr:rowOff>
    </xdr:from>
    <xdr:to>
      <xdr:col>16</xdr:col>
      <xdr:colOff>1295400</xdr:colOff>
      <xdr:row>4</xdr:row>
      <xdr:rowOff>8700</xdr:rowOff>
    </xdr:to>
    <xdr:sp macro="[0]!УдалитьСтрокуSEA" textlink="">
      <xdr:nvSpPr>
        <xdr:cNvPr id="3" name="Скругленный прямоугольник 2"/>
        <xdr:cNvSpPr/>
      </xdr:nvSpPr>
      <xdr:spPr>
        <a:xfrm>
          <a:off x="24110400" y="1028700"/>
          <a:ext cx="5760000" cy="504000"/>
        </a:xfrm>
        <a:prstGeom prst="roundRect">
          <a:avLst/>
        </a:prstGeom>
        <a:gradFill>
          <a:gsLst>
            <a:gs pos="61000">
              <a:srgbClr val="FF6D6D"/>
            </a:gs>
            <a:gs pos="100000">
              <a:srgbClr val="A30101"/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Удалить строку / контракт</a:t>
          </a:r>
        </a:p>
      </xdr:txBody>
    </xdr:sp>
    <xdr:clientData/>
  </xdr:twoCellAnchor>
  <xdr:twoCellAnchor editAs="absolute">
    <xdr:from>
      <xdr:col>19</xdr:col>
      <xdr:colOff>2038350</xdr:colOff>
      <xdr:row>3</xdr:row>
      <xdr:rowOff>48450</xdr:rowOff>
    </xdr:from>
    <xdr:to>
      <xdr:col>23</xdr:col>
      <xdr:colOff>483150</xdr:colOff>
      <xdr:row>4</xdr:row>
      <xdr:rowOff>38100</xdr:rowOff>
    </xdr:to>
    <xdr:sp macro="[0]!ДобавитьППАктSEA" textlink="">
      <xdr:nvSpPr>
        <xdr:cNvPr id="4" name="Скругленный прямоугольник 3"/>
        <xdr:cNvSpPr/>
      </xdr:nvSpPr>
      <xdr:spPr>
        <a:xfrm>
          <a:off x="35128200" y="1058100"/>
          <a:ext cx="5760000" cy="504000"/>
        </a:xfrm>
        <a:prstGeom prst="roundRect">
          <a:avLst/>
        </a:prstGeom>
        <a:gradFill>
          <a:gsLst>
            <a:gs pos="79000">
              <a:srgbClr val="FFC000"/>
            </a:gs>
            <a:gs pos="100000">
              <a:schemeClr val="accent6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200" b="1">
              <a:solidFill>
                <a:schemeClr val="tx1"/>
              </a:solidFill>
            </a:rPr>
            <a:t>Добавить Акт/ПП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1962150</xdr:colOff>
      <xdr:row>3</xdr:row>
      <xdr:rowOff>0</xdr:rowOff>
    </xdr:from>
    <xdr:to>
      <xdr:col>9</xdr:col>
      <xdr:colOff>883200</xdr:colOff>
      <xdr:row>3</xdr:row>
      <xdr:rowOff>504000</xdr:rowOff>
    </xdr:to>
    <xdr:sp macro="[0]!ДобавитьКонтрактNEA" textlink="">
      <xdr:nvSpPr>
        <xdr:cNvPr id="2" name="Скругленный прямоугольник 1"/>
        <xdr:cNvSpPr/>
      </xdr:nvSpPr>
      <xdr:spPr>
        <a:xfrm>
          <a:off x="12515850" y="1009650"/>
          <a:ext cx="5760000" cy="504000"/>
        </a:xfrm>
        <a:prstGeom prst="roundRect">
          <a:avLst/>
        </a:prstGeom>
        <a:gradFill>
          <a:gsLst>
            <a:gs pos="79000">
              <a:srgbClr val="92D050"/>
            </a:gs>
            <a:gs pos="100000">
              <a:schemeClr val="accent3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Добавить</a:t>
          </a:r>
          <a:r>
            <a:rPr lang="ru-RU" sz="3600" b="1" baseline="0">
              <a:solidFill>
                <a:schemeClr val="tx1"/>
              </a:solidFill>
            </a:rPr>
            <a:t> контракт</a:t>
          </a:r>
          <a:endParaRPr lang="ru-RU" sz="3600" b="1">
            <a:solidFill>
              <a:schemeClr val="tx1"/>
            </a:solidFill>
          </a:endParaRPr>
        </a:p>
      </xdr:txBody>
    </xdr:sp>
    <xdr:clientData/>
  </xdr:twoCellAnchor>
  <xdr:twoCellAnchor editAs="absolute">
    <xdr:from>
      <xdr:col>12</xdr:col>
      <xdr:colOff>1416626</xdr:colOff>
      <xdr:row>3</xdr:row>
      <xdr:rowOff>0</xdr:rowOff>
    </xdr:from>
    <xdr:to>
      <xdr:col>16</xdr:col>
      <xdr:colOff>70976</xdr:colOff>
      <xdr:row>3</xdr:row>
      <xdr:rowOff>504000</xdr:rowOff>
    </xdr:to>
    <xdr:sp macro="[0]!УдалитьСтрокуNEA" textlink="">
      <xdr:nvSpPr>
        <xdr:cNvPr id="5" name="Скругленный прямоугольник 4"/>
        <xdr:cNvSpPr/>
      </xdr:nvSpPr>
      <xdr:spPr>
        <a:xfrm>
          <a:off x="23343176" y="1009650"/>
          <a:ext cx="5760000" cy="504000"/>
        </a:xfrm>
        <a:prstGeom prst="roundRect">
          <a:avLst/>
        </a:prstGeom>
        <a:gradFill>
          <a:gsLst>
            <a:gs pos="79000">
              <a:srgbClr val="FF6D6D"/>
            </a:gs>
            <a:gs pos="100000">
              <a:srgbClr val="A30101"/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Удалить строку / контракт</a:t>
          </a:r>
        </a:p>
      </xdr:txBody>
    </xdr:sp>
    <xdr:clientData/>
  </xdr:twoCellAnchor>
  <xdr:twoCellAnchor editAs="absolute">
    <xdr:from>
      <xdr:col>19</xdr:col>
      <xdr:colOff>819150</xdr:colOff>
      <xdr:row>2</xdr:row>
      <xdr:rowOff>209550</xdr:rowOff>
    </xdr:from>
    <xdr:to>
      <xdr:col>22</xdr:col>
      <xdr:colOff>864150</xdr:colOff>
      <xdr:row>3</xdr:row>
      <xdr:rowOff>465900</xdr:rowOff>
    </xdr:to>
    <xdr:sp macro="[0]!ДобавитьППАктNEA" textlink="">
      <xdr:nvSpPr>
        <xdr:cNvPr id="7" name="Скругленный прямоугольник 6"/>
        <xdr:cNvSpPr/>
      </xdr:nvSpPr>
      <xdr:spPr>
        <a:xfrm>
          <a:off x="34709100" y="971550"/>
          <a:ext cx="5760000" cy="504000"/>
        </a:xfrm>
        <a:prstGeom prst="roundRect">
          <a:avLst/>
        </a:prstGeom>
        <a:gradFill>
          <a:gsLst>
            <a:gs pos="79000">
              <a:srgbClr val="FFC000"/>
            </a:gs>
            <a:gs pos="100000">
              <a:schemeClr val="accent6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200" b="1">
              <a:solidFill>
                <a:schemeClr val="tx1"/>
              </a:solidFill>
            </a:rPr>
            <a:t>Добавить Акт/ПП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880628</xdr:colOff>
      <xdr:row>3</xdr:row>
      <xdr:rowOff>0</xdr:rowOff>
    </xdr:from>
    <xdr:to>
      <xdr:col>8</xdr:col>
      <xdr:colOff>1420928</xdr:colOff>
      <xdr:row>3</xdr:row>
      <xdr:rowOff>504000</xdr:rowOff>
    </xdr:to>
    <xdr:sp macro="[0]!ДобавитьКонтрактIKZ" textlink="">
      <xdr:nvSpPr>
        <xdr:cNvPr id="2" name="Скругленный прямоугольник 1"/>
        <xdr:cNvSpPr/>
      </xdr:nvSpPr>
      <xdr:spPr>
        <a:xfrm>
          <a:off x="11358128" y="1009650"/>
          <a:ext cx="5760000" cy="504000"/>
        </a:xfrm>
        <a:prstGeom prst="roundRect">
          <a:avLst/>
        </a:prstGeom>
        <a:gradFill>
          <a:gsLst>
            <a:gs pos="79000">
              <a:srgbClr val="92D050"/>
            </a:gs>
            <a:gs pos="100000">
              <a:schemeClr val="accent3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Добавить</a:t>
          </a:r>
          <a:r>
            <a:rPr lang="ru-RU" sz="3600" b="1" baseline="0">
              <a:solidFill>
                <a:schemeClr val="tx1"/>
              </a:solidFill>
            </a:rPr>
            <a:t> контракт</a:t>
          </a:r>
          <a:endParaRPr lang="ru-RU" sz="3600" b="1">
            <a:solidFill>
              <a:schemeClr val="tx1"/>
            </a:solidFill>
          </a:endParaRPr>
        </a:p>
      </xdr:txBody>
    </xdr:sp>
    <xdr:clientData/>
  </xdr:twoCellAnchor>
  <xdr:twoCellAnchor editAs="absolute">
    <xdr:from>
      <xdr:col>12</xdr:col>
      <xdr:colOff>1409700</xdr:colOff>
      <xdr:row>3</xdr:row>
      <xdr:rowOff>10350</xdr:rowOff>
    </xdr:from>
    <xdr:to>
      <xdr:col>16</xdr:col>
      <xdr:colOff>64050</xdr:colOff>
      <xdr:row>4</xdr:row>
      <xdr:rowOff>0</xdr:rowOff>
    </xdr:to>
    <xdr:sp macro="[0]!УдалитьСтрокуIKZ" textlink="">
      <xdr:nvSpPr>
        <xdr:cNvPr id="3" name="Скругленный прямоугольник 2"/>
        <xdr:cNvSpPr/>
      </xdr:nvSpPr>
      <xdr:spPr>
        <a:xfrm>
          <a:off x="23260050" y="1020000"/>
          <a:ext cx="5760000" cy="504000"/>
        </a:xfrm>
        <a:prstGeom prst="roundRect">
          <a:avLst/>
        </a:prstGeom>
        <a:gradFill>
          <a:gsLst>
            <a:gs pos="79000">
              <a:srgbClr val="FF6D6D"/>
            </a:gs>
            <a:gs pos="100000">
              <a:srgbClr val="A30101"/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Удалить строку / контракт</a:t>
          </a:r>
        </a:p>
      </xdr:txBody>
    </xdr:sp>
    <xdr:clientData fPrintsWithSheet="0"/>
  </xdr:twoCellAnchor>
  <xdr:twoCellAnchor editAs="absolute">
    <xdr:from>
      <xdr:col>19</xdr:col>
      <xdr:colOff>1136100</xdr:colOff>
      <xdr:row>3</xdr:row>
      <xdr:rowOff>10350</xdr:rowOff>
    </xdr:from>
    <xdr:to>
      <xdr:col>22</xdr:col>
      <xdr:colOff>1219200</xdr:colOff>
      <xdr:row>4</xdr:row>
      <xdr:rowOff>0</xdr:rowOff>
    </xdr:to>
    <xdr:sp macro="[0]!ДобавитьППАктIKZ" textlink="">
      <xdr:nvSpPr>
        <xdr:cNvPr id="4" name="Скругленный прямоугольник 3"/>
        <xdr:cNvSpPr/>
      </xdr:nvSpPr>
      <xdr:spPr>
        <a:xfrm>
          <a:off x="34606950" y="1020000"/>
          <a:ext cx="5760000" cy="504000"/>
        </a:xfrm>
        <a:prstGeom prst="roundRect">
          <a:avLst/>
        </a:prstGeom>
        <a:gradFill>
          <a:gsLst>
            <a:gs pos="79000">
              <a:srgbClr val="FFC000"/>
            </a:gs>
            <a:gs pos="100000">
              <a:schemeClr val="accent6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200" b="1">
              <a:solidFill>
                <a:schemeClr val="tx1"/>
              </a:solidFill>
            </a:rPr>
            <a:t>Добавить Акт/ПП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6">
    <tabColor rgb="FFFFFF00"/>
  </sheetPr>
  <dimension ref="A1:W20"/>
  <sheetViews>
    <sheetView showGridLines="0" tabSelected="1" zoomScale="70" zoomScaleNormal="70" workbookViewId="0">
      <selection activeCell="M6" sqref="M6"/>
    </sheetView>
  </sheetViews>
  <sheetFormatPr defaultColWidth="0" defaultRowHeight="14.4" x14ac:dyDescent="0.3"/>
  <cols>
    <col min="1" max="2" width="9.109375" style="9" customWidth="1"/>
    <col min="3" max="3" width="25.33203125" style="9" customWidth="1"/>
    <col min="4" max="5" width="9.109375" style="9" customWidth="1"/>
    <col min="6" max="6" width="11.6640625" style="9" customWidth="1"/>
    <col min="7" max="7" width="19" style="9" customWidth="1"/>
    <col min="8" max="8" width="6.5546875" style="9" customWidth="1"/>
    <col min="9" max="9" width="5.5546875" style="9" customWidth="1"/>
    <col min="10" max="10" width="15" style="9" customWidth="1"/>
    <col min="11" max="11" width="14.88671875" style="9" customWidth="1"/>
    <col min="12" max="12" width="21.33203125" style="9" customWidth="1"/>
    <col min="13" max="13" width="10.109375" style="9" customWidth="1"/>
    <col min="14" max="14" width="17.109375" style="9" bestFit="1" customWidth="1"/>
    <col min="15" max="22" width="9.109375" style="9" hidden="1" customWidth="1"/>
    <col min="23" max="23" width="30.6640625" style="9" hidden="1" customWidth="1"/>
    <col min="24" max="16384" width="9.109375" style="9" hidden="1"/>
  </cols>
  <sheetData>
    <row r="1" spans="1:14" ht="27" customHeight="1" thickBot="1" x14ac:dyDescent="0.35">
      <c r="A1" s="387" t="s">
        <v>141</v>
      </c>
      <c r="B1" s="388"/>
      <c r="C1" s="388"/>
      <c r="D1" s="388"/>
      <c r="E1" s="387" t="s">
        <v>176</v>
      </c>
      <c r="F1" s="388"/>
      <c r="G1" s="388"/>
      <c r="H1" s="388"/>
      <c r="I1" s="388"/>
      <c r="J1" s="388"/>
      <c r="K1" s="388"/>
      <c r="L1" s="388"/>
      <c r="M1" s="388"/>
      <c r="N1" s="389"/>
    </row>
    <row r="3" spans="1:14" ht="15" thickBot="1" x14ac:dyDescent="0.35">
      <c r="I3" s="21"/>
      <c r="J3" s="21"/>
      <c r="K3" s="21"/>
      <c r="L3" s="21"/>
      <c r="M3" s="21"/>
      <c r="N3" s="21"/>
    </row>
    <row r="4" spans="1:14" ht="32.25" customHeight="1" thickBot="1" x14ac:dyDescent="0.35">
      <c r="A4" s="423" t="s">
        <v>25</v>
      </c>
      <c r="B4" s="424"/>
      <c r="C4" s="4">
        <v>9683715.9399999995</v>
      </c>
      <c r="D4" s="5"/>
      <c r="E4" s="425" t="s">
        <v>140</v>
      </c>
      <c r="F4" s="426"/>
      <c r="G4" s="427"/>
      <c r="H4" s="428">
        <v>2000000</v>
      </c>
      <c r="I4" s="429"/>
      <c r="J4" s="430"/>
      <c r="K4" s="22"/>
      <c r="L4" s="99" t="s">
        <v>55</v>
      </c>
      <c r="M4" s="425">
        <f>C4-H4-G9-G10-G11-G14</f>
        <v>3206313.9899999993</v>
      </c>
      <c r="N4" s="427"/>
    </row>
    <row r="5" spans="1:14" ht="30.75" customHeight="1" thickBot="1" x14ac:dyDescent="0.35">
      <c r="A5" s="423" t="s">
        <v>26</v>
      </c>
      <c r="B5" s="424"/>
      <c r="C5" s="6">
        <f>C4-G15+J15</f>
        <v>860529.07999999961</v>
      </c>
      <c r="D5" s="5"/>
      <c r="E5" s="425" t="s">
        <v>53</v>
      </c>
      <c r="F5" s="426"/>
      <c r="G5" s="427"/>
      <c r="H5" s="418">
        <f>H4-G12+J12</f>
        <v>82206.77</v>
      </c>
      <c r="I5" s="419"/>
      <c r="J5" s="420"/>
      <c r="K5" s="22"/>
      <c r="L5" s="99" t="s">
        <v>54</v>
      </c>
      <c r="M5" s="421">
        <f>M4-G13+J13</f>
        <v>379475.28999999946</v>
      </c>
      <c r="N5" s="422"/>
    </row>
    <row r="6" spans="1:14" x14ac:dyDescent="0.3">
      <c r="C6" s="7"/>
      <c r="D6" s="10"/>
      <c r="E6" s="10"/>
      <c r="F6" s="10"/>
      <c r="G6" s="10"/>
      <c r="H6" s="10"/>
      <c r="I6" s="10"/>
      <c r="J6" s="10"/>
      <c r="K6" s="10"/>
      <c r="L6" s="10"/>
    </row>
    <row r="7" spans="1:14" ht="15" thickBot="1" x14ac:dyDescent="0.35"/>
    <row r="8" spans="1:14" ht="72" customHeight="1" thickBot="1" x14ac:dyDescent="0.35">
      <c r="A8" s="431" t="s">
        <v>27</v>
      </c>
      <c r="B8" s="432"/>
      <c r="C8" s="433"/>
      <c r="D8" s="431" t="s">
        <v>28</v>
      </c>
      <c r="E8" s="432"/>
      <c r="F8" s="433"/>
      <c r="G8" s="434" t="s">
        <v>29</v>
      </c>
      <c r="H8" s="435"/>
      <c r="I8" s="436"/>
      <c r="J8" s="434" t="s">
        <v>142</v>
      </c>
      <c r="K8" s="435"/>
      <c r="L8" s="436"/>
      <c r="M8" s="431" t="s">
        <v>30</v>
      </c>
      <c r="N8" s="433"/>
    </row>
    <row r="9" spans="1:14" ht="41.25" customHeight="1" thickBot="1" x14ac:dyDescent="0.35">
      <c r="A9" s="409" t="s">
        <v>31</v>
      </c>
      <c r="B9" s="410"/>
      <c r="C9" s="411"/>
      <c r="D9" s="408">
        <f>'Состоявшиеся аукционы'!G2</f>
        <v>26100</v>
      </c>
      <c r="E9" s="408"/>
      <c r="F9" s="408"/>
      <c r="G9" s="408">
        <f>'Состоявшиеся аукционы'!Q2</f>
        <v>25578</v>
      </c>
      <c r="H9" s="408"/>
      <c r="I9" s="408"/>
      <c r="J9" s="405">
        <f>'Состоявшиеся аукционы'!AB2</f>
        <v>0</v>
      </c>
      <c r="K9" s="406"/>
      <c r="L9" s="407"/>
      <c r="M9" s="408">
        <f t="shared" ref="M9:M15" si="0">D9-G9</f>
        <v>522</v>
      </c>
      <c r="N9" s="408"/>
    </row>
    <row r="10" spans="1:14" ht="78.75" customHeight="1" thickBot="1" x14ac:dyDescent="0.35">
      <c r="A10" s="409" t="s">
        <v>49</v>
      </c>
      <c r="B10" s="410"/>
      <c r="C10" s="411"/>
      <c r="D10" s="408">
        <f>'Несостоявшиеся аукционы'!G2</f>
        <v>763740.72</v>
      </c>
      <c r="E10" s="408"/>
      <c r="F10" s="408"/>
      <c r="G10" s="408">
        <f>'Несостоявшиеся аукционы'!Q2</f>
        <v>763740.72</v>
      </c>
      <c r="H10" s="408"/>
      <c r="I10" s="408"/>
      <c r="J10" s="405">
        <f>'Несостоявшиеся аукционы'!AB2</f>
        <v>398847.02</v>
      </c>
      <c r="K10" s="406"/>
      <c r="L10" s="407"/>
      <c r="M10" s="408">
        <f t="shared" si="0"/>
        <v>0</v>
      </c>
      <c r="N10" s="408"/>
    </row>
    <row r="11" spans="1:14" ht="40.5" customHeight="1" thickBot="1" x14ac:dyDescent="0.35">
      <c r="A11" s="409" t="s">
        <v>83</v>
      </c>
      <c r="B11" s="410"/>
      <c r="C11" s="411"/>
      <c r="D11" s="405">
        <f>'Иные конкурентные закупки'!G2</f>
        <v>1786928.62</v>
      </c>
      <c r="E11" s="406"/>
      <c r="F11" s="407"/>
      <c r="G11" s="405">
        <f>'Иные конкурентные закупки'!Q2</f>
        <v>1727500.78</v>
      </c>
      <c r="H11" s="406"/>
      <c r="I11" s="407"/>
      <c r="J11" s="405">
        <f>'Иные конкурентные закупки'!AB2</f>
        <v>0</v>
      </c>
      <c r="K11" s="406"/>
      <c r="L11" s="407"/>
      <c r="M11" s="405">
        <f t="shared" si="0"/>
        <v>59427.840000000084</v>
      </c>
      <c r="N11" s="407"/>
    </row>
    <row r="12" spans="1:14" ht="54.75" customHeight="1" thickBot="1" x14ac:dyDescent="0.35">
      <c r="A12" s="412" t="s">
        <v>50</v>
      </c>
      <c r="B12" s="413"/>
      <c r="C12" s="414"/>
      <c r="D12" s="408">
        <f>'Ед. поставщик п.4 ч.1'!H2</f>
        <v>2045567.25</v>
      </c>
      <c r="E12" s="408"/>
      <c r="F12" s="408"/>
      <c r="G12" s="408">
        <f>D12</f>
        <v>2045567.25</v>
      </c>
      <c r="H12" s="408"/>
      <c r="I12" s="408"/>
      <c r="J12" s="405">
        <f>'Ед. поставщик п.4 ч.1'!V2</f>
        <v>127774.02</v>
      </c>
      <c r="K12" s="406"/>
      <c r="L12" s="407"/>
      <c r="M12" s="408">
        <f t="shared" si="0"/>
        <v>0</v>
      </c>
      <c r="N12" s="408"/>
    </row>
    <row r="13" spans="1:14" ht="45.75" customHeight="1" thickBot="1" x14ac:dyDescent="0.35">
      <c r="A13" s="412" t="s">
        <v>51</v>
      </c>
      <c r="B13" s="413"/>
      <c r="C13" s="414"/>
      <c r="D13" s="408">
        <f>'Ед. поставщик п.5 ч.1'!H2</f>
        <v>3472390.88</v>
      </c>
      <c r="E13" s="408"/>
      <c r="F13" s="408"/>
      <c r="G13" s="408">
        <f>D13</f>
        <v>3472390.88</v>
      </c>
      <c r="H13" s="408"/>
      <c r="I13" s="408"/>
      <c r="J13" s="405">
        <f>'Ед. поставщик п.5 ч.1'!V2</f>
        <v>645552.18000000005</v>
      </c>
      <c r="K13" s="406"/>
      <c r="L13" s="407"/>
      <c r="M13" s="408">
        <f t="shared" si="0"/>
        <v>0</v>
      </c>
      <c r="N13" s="408"/>
    </row>
    <row r="14" spans="1:14" ht="45.75" customHeight="1" thickBot="1" x14ac:dyDescent="0.35">
      <c r="A14" s="402" t="s">
        <v>52</v>
      </c>
      <c r="B14" s="403"/>
      <c r="C14" s="404"/>
      <c r="D14" s="405">
        <f>'Ед.поставщик за искл. п.4,5 ч.1'!G2</f>
        <v>1960582.45</v>
      </c>
      <c r="E14" s="406"/>
      <c r="F14" s="407"/>
      <c r="G14" s="405">
        <f>D14</f>
        <v>1960582.45</v>
      </c>
      <c r="H14" s="406"/>
      <c r="I14" s="407"/>
      <c r="J14" s="405">
        <f>'Ед.поставщик за искл. п.4,5 ч.1'!T2</f>
        <v>0</v>
      </c>
      <c r="K14" s="406"/>
      <c r="L14" s="407"/>
      <c r="M14" s="408">
        <f t="shared" si="0"/>
        <v>0</v>
      </c>
      <c r="N14" s="408"/>
    </row>
    <row r="15" spans="1:14" ht="21.6" thickBot="1" x14ac:dyDescent="0.35">
      <c r="A15" s="415" t="s">
        <v>143</v>
      </c>
      <c r="B15" s="416"/>
      <c r="C15" s="417"/>
      <c r="D15" s="408">
        <f>SUM(D9:D14)</f>
        <v>10055309.92</v>
      </c>
      <c r="E15" s="408"/>
      <c r="F15" s="408"/>
      <c r="G15" s="405">
        <f>SUM(G9:G14)</f>
        <v>9995360.0800000001</v>
      </c>
      <c r="H15" s="406"/>
      <c r="I15" s="407"/>
      <c r="J15" s="405">
        <f>SUM(J9:J14)</f>
        <v>1172173.2200000002</v>
      </c>
      <c r="K15" s="406"/>
      <c r="L15" s="407"/>
      <c r="M15" s="408">
        <f t="shared" si="0"/>
        <v>59949.839999999851</v>
      </c>
      <c r="N15" s="408"/>
    </row>
    <row r="18" spans="1:12" ht="15" thickBot="1" x14ac:dyDescent="0.35"/>
    <row r="19" spans="1:12" ht="23.25" customHeight="1" x14ac:dyDescent="0.3">
      <c r="A19" s="390" t="s">
        <v>35</v>
      </c>
      <c r="B19" s="391"/>
      <c r="C19" s="392"/>
      <c r="D19" s="396">
        <f>'Ед. поставщик п.4 ч.1'!P2+'Ед. поставщик п.5 ч.1'!P2+'Ед.поставщик за искл. п.4,5 ч.1'!N2+'Состоявшиеся аукционы'!V2+'Несостоявшиеся аукционы'!V2+'Иные конкурентные закупки'!V2</f>
        <v>7056026.9400000004</v>
      </c>
      <c r="E19" s="397"/>
      <c r="F19" s="397"/>
      <c r="G19" s="398"/>
      <c r="I19" s="20"/>
      <c r="J19" s="20"/>
      <c r="K19" s="20"/>
      <c r="L19" s="20"/>
    </row>
    <row r="20" spans="1:12" ht="24" customHeight="1" thickBot="1" x14ac:dyDescent="0.35">
      <c r="A20" s="393"/>
      <c r="B20" s="394"/>
      <c r="C20" s="395"/>
      <c r="D20" s="399"/>
      <c r="E20" s="400"/>
      <c r="F20" s="400"/>
      <c r="G20" s="401"/>
      <c r="I20" s="20"/>
      <c r="J20" s="20"/>
      <c r="K20" s="20"/>
      <c r="L20" s="20"/>
    </row>
  </sheetData>
  <mergeCells count="52">
    <mergeCell ref="H5:J5"/>
    <mergeCell ref="M5:N5"/>
    <mergeCell ref="M11:N11"/>
    <mergeCell ref="J11:L11"/>
    <mergeCell ref="A4:B4"/>
    <mergeCell ref="E4:G4"/>
    <mergeCell ref="H4:J4"/>
    <mergeCell ref="M4:N4"/>
    <mergeCell ref="A5:B5"/>
    <mergeCell ref="A8:C8"/>
    <mergeCell ref="D8:F8"/>
    <mergeCell ref="G8:I8"/>
    <mergeCell ref="M8:N8"/>
    <mergeCell ref="J8:L8"/>
    <mergeCell ref="E5:G5"/>
    <mergeCell ref="A10:C10"/>
    <mergeCell ref="D10:F10"/>
    <mergeCell ref="G10:I10"/>
    <mergeCell ref="M10:N10"/>
    <mergeCell ref="J10:L10"/>
    <mergeCell ref="A9:C9"/>
    <mergeCell ref="D9:F9"/>
    <mergeCell ref="G9:I9"/>
    <mergeCell ref="M9:N9"/>
    <mergeCell ref="J9:L9"/>
    <mergeCell ref="J13:L13"/>
    <mergeCell ref="A15:C15"/>
    <mergeCell ref="D15:F15"/>
    <mergeCell ref="G15:I15"/>
    <mergeCell ref="M15:N15"/>
    <mergeCell ref="J15:L15"/>
    <mergeCell ref="A13:C13"/>
    <mergeCell ref="D13:F13"/>
    <mergeCell ref="G13:I13"/>
    <mergeCell ref="J14:L14"/>
    <mergeCell ref="M14:N14"/>
    <mergeCell ref="A1:D1"/>
    <mergeCell ref="E1:N1"/>
    <mergeCell ref="A19:C20"/>
    <mergeCell ref="D19:G20"/>
    <mergeCell ref="A14:C14"/>
    <mergeCell ref="D14:F14"/>
    <mergeCell ref="G14:I14"/>
    <mergeCell ref="M12:N12"/>
    <mergeCell ref="J12:L12"/>
    <mergeCell ref="A11:C11"/>
    <mergeCell ref="D11:F11"/>
    <mergeCell ref="G11:I11"/>
    <mergeCell ref="G12:I12"/>
    <mergeCell ref="A12:C12"/>
    <mergeCell ref="D12:F12"/>
    <mergeCell ref="M13:N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4">
    <tabColor rgb="FFFF0000"/>
  </sheetPr>
  <dimension ref="A1:X161"/>
  <sheetViews>
    <sheetView showGridLines="0" topLeftCell="G1" zoomScale="51" zoomScaleNormal="70" workbookViewId="0">
      <pane ySplit="8" topLeftCell="A148" activePane="bottomLeft" state="frozen"/>
      <selection activeCell="I1" sqref="I1"/>
      <selection pane="bottomLeft" activeCell="R148" sqref="R148"/>
    </sheetView>
  </sheetViews>
  <sheetFormatPr defaultColWidth="0" defaultRowHeight="18" x14ac:dyDescent="0.3"/>
  <cols>
    <col min="1" max="1" width="9.109375" style="3" customWidth="1"/>
    <col min="2" max="3" width="35" style="3" customWidth="1"/>
    <col min="4" max="4" width="32.88671875" style="3" customWidth="1"/>
    <col min="5" max="5" width="23.33203125" style="12" customWidth="1"/>
    <col min="6" max="6" width="27.5546875" style="3" customWidth="1"/>
    <col min="7" max="7" width="49.109375" style="3" customWidth="1"/>
    <col min="8" max="8" width="26.88671875" style="11" customWidth="1"/>
    <col min="9" max="9" width="21.88671875" style="11" customWidth="1"/>
    <col min="10" max="10" width="33.5546875" style="3" customWidth="1"/>
    <col min="11" max="12" width="28.33203125" style="3" customWidth="1"/>
    <col min="13" max="13" width="34.88671875" style="3" customWidth="1"/>
    <col min="14" max="14" width="28.88671875" style="12" customWidth="1"/>
    <col min="15" max="15" width="28.88671875" style="3" customWidth="1"/>
    <col min="16" max="16" width="24" style="32" customWidth="1"/>
    <col min="17" max="17" width="26.88671875" style="12" customWidth="1"/>
    <col min="18" max="18" width="23.44140625" style="8" customWidth="1"/>
    <col min="19" max="20" width="23.6640625" style="8" customWidth="1"/>
    <col min="21" max="21" width="24.5546875" style="12" customWidth="1"/>
    <col min="22" max="22" width="25.5546875" style="32" customWidth="1"/>
    <col min="23" max="23" width="17.6640625" style="8" customWidth="1"/>
    <col min="24" max="16384" width="9.109375" style="8" hidden="1"/>
  </cols>
  <sheetData>
    <row r="1" spans="1:24" ht="18.600000000000001" thickBot="1" x14ac:dyDescent="0.35"/>
    <row r="2" spans="1:24" ht="39.9" customHeight="1" thickBot="1" x14ac:dyDescent="0.35">
      <c r="A2" s="86"/>
      <c r="B2" s="86"/>
      <c r="C2" s="86"/>
      <c r="D2" s="86"/>
      <c r="E2" s="86"/>
      <c r="F2" s="43"/>
      <c r="G2" s="101" t="s">
        <v>24</v>
      </c>
      <c r="H2" s="98">
        <f>SUM(H9:H9999)</f>
        <v>2045567.25</v>
      </c>
      <c r="K2" s="518"/>
      <c r="L2" s="518"/>
      <c r="M2" s="518"/>
      <c r="N2" s="519" t="s">
        <v>137</v>
      </c>
      <c r="O2" s="521"/>
      <c r="P2" s="87">
        <f>SUM(P9:P9999)</f>
        <v>1497219.26</v>
      </c>
      <c r="R2" s="86"/>
      <c r="S2" s="519" t="s">
        <v>45</v>
      </c>
      <c r="T2" s="520"/>
      <c r="U2" s="521"/>
      <c r="V2" s="88">
        <f>SUM(V9:V9999)</f>
        <v>127774.02</v>
      </c>
    </row>
    <row r="3" spans="1:24" x14ac:dyDescent="0.3">
      <c r="A3" s="518"/>
      <c r="B3" s="518"/>
      <c r="C3" s="518"/>
      <c r="D3" s="518"/>
      <c r="E3" s="518"/>
      <c r="F3" s="45"/>
      <c r="N3" s="86"/>
    </row>
    <row r="4" spans="1:24" ht="39.9" customHeight="1" x14ac:dyDescent="0.3">
      <c r="A4" s="14"/>
      <c r="B4" s="14"/>
      <c r="C4" s="14"/>
      <c r="D4" s="14"/>
      <c r="E4" s="29"/>
      <c r="F4" s="14"/>
      <c r="J4" s="522"/>
      <c r="K4" s="522"/>
      <c r="M4" s="522"/>
      <c r="N4" s="522"/>
      <c r="O4" s="522"/>
      <c r="P4" s="522"/>
    </row>
    <row r="5" spans="1:24" x14ac:dyDescent="0.3">
      <c r="A5" s="14"/>
      <c r="B5" s="14"/>
      <c r="C5" s="14"/>
      <c r="D5" s="14"/>
      <c r="E5" s="29"/>
      <c r="F5" s="14"/>
      <c r="G5" s="14"/>
      <c r="H5" s="15"/>
    </row>
    <row r="6" spans="1:24" ht="159" customHeight="1" x14ac:dyDescent="0.3">
      <c r="A6" s="69" t="s">
        <v>8</v>
      </c>
      <c r="B6" s="69" t="s">
        <v>47</v>
      </c>
      <c r="C6" s="69" t="s">
        <v>145</v>
      </c>
      <c r="D6" s="69" t="s">
        <v>10</v>
      </c>
      <c r="E6" s="68" t="s">
        <v>1</v>
      </c>
      <c r="F6" s="69" t="s">
        <v>2</v>
      </c>
      <c r="G6" s="69" t="s">
        <v>3</v>
      </c>
      <c r="H6" s="71" t="s">
        <v>4</v>
      </c>
      <c r="I6" s="71" t="s">
        <v>22</v>
      </c>
      <c r="J6" s="69" t="s">
        <v>46</v>
      </c>
      <c r="K6" s="69" t="s">
        <v>5</v>
      </c>
      <c r="L6" s="69" t="s">
        <v>82</v>
      </c>
      <c r="M6" s="69" t="s">
        <v>44</v>
      </c>
      <c r="N6" s="68" t="s">
        <v>7</v>
      </c>
      <c r="O6" s="69" t="s">
        <v>6</v>
      </c>
      <c r="P6" s="70" t="s">
        <v>23</v>
      </c>
      <c r="Q6" s="68" t="s">
        <v>9</v>
      </c>
      <c r="R6" s="67" t="s">
        <v>40</v>
      </c>
      <c r="S6" s="67" t="s">
        <v>103</v>
      </c>
      <c r="T6" s="67" t="s">
        <v>104</v>
      </c>
      <c r="U6" s="68" t="s">
        <v>41</v>
      </c>
      <c r="V6" s="70" t="s">
        <v>105</v>
      </c>
      <c r="W6" s="67" t="s">
        <v>42</v>
      </c>
    </row>
    <row r="7" spans="1:24" x14ac:dyDescent="0.3">
      <c r="A7" s="78" t="s">
        <v>36</v>
      </c>
      <c r="B7" s="78" t="s">
        <v>110</v>
      </c>
      <c r="C7" s="78" t="s">
        <v>111</v>
      </c>
      <c r="D7" s="78" t="s">
        <v>112</v>
      </c>
      <c r="E7" s="78" t="s">
        <v>113</v>
      </c>
      <c r="F7" s="78" t="s">
        <v>114</v>
      </c>
      <c r="G7" s="78" t="s">
        <v>115</v>
      </c>
      <c r="H7" s="78" t="s">
        <v>116</v>
      </c>
      <c r="I7" s="78" t="s">
        <v>117</v>
      </c>
      <c r="J7" s="78" t="s">
        <v>118</v>
      </c>
      <c r="K7" s="78" t="s">
        <v>119</v>
      </c>
      <c r="L7" s="78" t="s">
        <v>120</v>
      </c>
      <c r="M7" s="78" t="s">
        <v>121</v>
      </c>
      <c r="N7" s="78" t="s">
        <v>122</v>
      </c>
      <c r="O7" s="78" t="s">
        <v>123</v>
      </c>
      <c r="P7" s="78" t="s">
        <v>124</v>
      </c>
      <c r="Q7" s="78" t="s">
        <v>125</v>
      </c>
      <c r="R7" s="78" t="s">
        <v>126</v>
      </c>
      <c r="S7" s="78" t="s">
        <v>127</v>
      </c>
      <c r="T7" s="78" t="s">
        <v>128</v>
      </c>
      <c r="U7" s="78" t="s">
        <v>129</v>
      </c>
      <c r="V7" s="78" t="s">
        <v>130</v>
      </c>
      <c r="W7" s="78" t="s">
        <v>131</v>
      </c>
    </row>
    <row r="8" spans="1:24" s="19" customFormat="1" ht="90" x14ac:dyDescent="0.3">
      <c r="A8" s="72">
        <v>1</v>
      </c>
      <c r="B8" s="72" t="s">
        <v>56</v>
      </c>
      <c r="C8" s="72"/>
      <c r="D8" s="72" t="s">
        <v>58</v>
      </c>
      <c r="E8" s="73" t="s">
        <v>57</v>
      </c>
      <c r="F8" s="73" t="s">
        <v>107</v>
      </c>
      <c r="G8" s="72" t="s">
        <v>59</v>
      </c>
      <c r="H8" s="79">
        <v>20000</v>
      </c>
      <c r="I8" s="79">
        <f>H8-P8</f>
        <v>0</v>
      </c>
      <c r="J8" s="72" t="s">
        <v>60</v>
      </c>
      <c r="K8" s="72" t="s">
        <v>61</v>
      </c>
      <c r="L8" s="72"/>
      <c r="M8" s="72" t="s">
        <v>62</v>
      </c>
      <c r="N8" s="73">
        <v>43840</v>
      </c>
      <c r="O8" s="72" t="s">
        <v>144</v>
      </c>
      <c r="P8" s="103">
        <v>20000</v>
      </c>
      <c r="Q8" s="73">
        <v>43840</v>
      </c>
      <c r="R8" s="72"/>
      <c r="S8" s="79"/>
      <c r="T8" s="79"/>
      <c r="U8" s="73"/>
      <c r="V8" s="79"/>
      <c r="W8" s="75" t="s">
        <v>64</v>
      </c>
    </row>
    <row r="9" spans="1:24" s="107" customFormat="1" ht="93.75" customHeight="1" x14ac:dyDescent="0.3">
      <c r="A9" s="485">
        <v>1</v>
      </c>
      <c r="B9" s="523" t="s">
        <v>56</v>
      </c>
      <c r="C9" s="467" t="s">
        <v>146</v>
      </c>
      <c r="D9" s="467" t="s">
        <v>147</v>
      </c>
      <c r="E9" s="470">
        <v>45078</v>
      </c>
      <c r="F9" s="473">
        <v>44951</v>
      </c>
      <c r="G9" s="467" t="s">
        <v>159</v>
      </c>
      <c r="H9" s="476">
        <v>24192.32</v>
      </c>
      <c r="I9" s="479">
        <f>IF(X9 = 1, H9 + SUM(S9:S11) - SUM(T9:T11) - SUM(P9:P11) - V9,0)</f>
        <v>6048.0800000000017</v>
      </c>
      <c r="J9" s="467" t="s">
        <v>160</v>
      </c>
      <c r="K9" s="467" t="s">
        <v>161</v>
      </c>
      <c r="L9" s="467" t="s">
        <v>146</v>
      </c>
      <c r="M9" s="467" t="s">
        <v>162</v>
      </c>
      <c r="N9" s="348">
        <v>45012</v>
      </c>
      <c r="O9" s="512" t="s">
        <v>181</v>
      </c>
      <c r="P9" s="339">
        <v>6048.08</v>
      </c>
      <c r="Q9" s="340">
        <v>45022</v>
      </c>
      <c r="R9" s="341"/>
      <c r="S9" s="339"/>
      <c r="T9" s="339"/>
      <c r="U9" s="476"/>
      <c r="V9" s="488"/>
      <c r="W9" s="491"/>
      <c r="X9" s="107">
        <v>1</v>
      </c>
    </row>
    <row r="10" spans="1:24" s="111" customFormat="1" x14ac:dyDescent="0.3">
      <c r="A10" s="486"/>
      <c r="B10" s="524"/>
      <c r="C10" s="468"/>
      <c r="D10" s="468"/>
      <c r="E10" s="471"/>
      <c r="F10" s="474"/>
      <c r="G10" s="468"/>
      <c r="H10" s="477"/>
      <c r="I10" s="480"/>
      <c r="J10" s="468"/>
      <c r="K10" s="468"/>
      <c r="L10" s="468"/>
      <c r="M10" s="468"/>
      <c r="N10" s="349">
        <v>45104</v>
      </c>
      <c r="O10" s="513"/>
      <c r="P10" s="342">
        <v>6048.08</v>
      </c>
      <c r="Q10" s="343">
        <v>45110</v>
      </c>
      <c r="R10" s="344"/>
      <c r="S10" s="342"/>
      <c r="T10" s="342"/>
      <c r="U10" s="477"/>
      <c r="V10" s="489"/>
      <c r="W10" s="492"/>
      <c r="X10" s="111">
        <v>1</v>
      </c>
    </row>
    <row r="11" spans="1:24" s="328" customFormat="1" x14ac:dyDescent="0.3">
      <c r="A11" s="487"/>
      <c r="B11" s="525"/>
      <c r="C11" s="469"/>
      <c r="D11" s="469"/>
      <c r="E11" s="472"/>
      <c r="F11" s="475"/>
      <c r="G11" s="469"/>
      <c r="H11" s="478"/>
      <c r="I11" s="481"/>
      <c r="J11" s="469"/>
      <c r="K11" s="469"/>
      <c r="L11" s="469"/>
      <c r="M11" s="469"/>
      <c r="N11" s="350">
        <v>45196</v>
      </c>
      <c r="O11" s="514"/>
      <c r="P11" s="345">
        <v>6048.08</v>
      </c>
      <c r="Q11" s="346">
        <v>45201</v>
      </c>
      <c r="R11" s="347"/>
      <c r="S11" s="345"/>
      <c r="T11" s="345"/>
      <c r="U11" s="478"/>
      <c r="V11" s="490"/>
      <c r="W11" s="493"/>
      <c r="X11" s="328">
        <v>1</v>
      </c>
    </row>
    <row r="12" spans="1:24" s="107" customFormat="1" ht="93.75" customHeight="1" x14ac:dyDescent="0.3">
      <c r="A12" s="449">
        <v>2</v>
      </c>
      <c r="B12" s="464" t="s">
        <v>56</v>
      </c>
      <c r="C12" s="440" t="s">
        <v>146</v>
      </c>
      <c r="D12" s="440" t="s">
        <v>147</v>
      </c>
      <c r="E12" s="458">
        <v>1</v>
      </c>
      <c r="F12" s="437">
        <v>44952</v>
      </c>
      <c r="G12" s="440" t="s">
        <v>163</v>
      </c>
      <c r="H12" s="443">
        <v>17500</v>
      </c>
      <c r="I12" s="446">
        <f>IF(X12 = 2, H12 + SUM(S12:S16) - SUM(T12:T16) - SUM(P12:P16) - V12,0)</f>
        <v>5000</v>
      </c>
      <c r="J12" s="440" t="s">
        <v>164</v>
      </c>
      <c r="K12" s="440" t="s">
        <v>165</v>
      </c>
      <c r="L12" s="440" t="s">
        <v>146</v>
      </c>
      <c r="M12" s="440" t="s">
        <v>166</v>
      </c>
      <c r="N12" s="375">
        <v>44957</v>
      </c>
      <c r="O12" s="515" t="s">
        <v>181</v>
      </c>
      <c r="P12" s="366">
        <v>2500</v>
      </c>
      <c r="Q12" s="367">
        <v>44965</v>
      </c>
      <c r="R12" s="368"/>
      <c r="S12" s="366"/>
      <c r="T12" s="366"/>
      <c r="U12" s="443"/>
      <c r="V12" s="452"/>
      <c r="W12" s="455"/>
      <c r="X12" s="107">
        <v>2</v>
      </c>
    </row>
    <row r="13" spans="1:24" s="106" customFormat="1" x14ac:dyDescent="0.3">
      <c r="A13" s="450"/>
      <c r="B13" s="465"/>
      <c r="C13" s="441"/>
      <c r="D13" s="441"/>
      <c r="E13" s="459"/>
      <c r="F13" s="438"/>
      <c r="G13" s="441"/>
      <c r="H13" s="444"/>
      <c r="I13" s="447"/>
      <c r="J13" s="441"/>
      <c r="K13" s="441"/>
      <c r="L13" s="441"/>
      <c r="M13" s="441"/>
      <c r="N13" s="376">
        <v>44985</v>
      </c>
      <c r="O13" s="516"/>
      <c r="P13" s="369">
        <v>2500</v>
      </c>
      <c r="Q13" s="370">
        <v>44986</v>
      </c>
      <c r="R13" s="371"/>
      <c r="S13" s="369"/>
      <c r="T13" s="369"/>
      <c r="U13" s="444"/>
      <c r="V13" s="453"/>
      <c r="W13" s="456"/>
      <c r="X13" s="106">
        <v>2</v>
      </c>
    </row>
    <row r="14" spans="1:24" s="111" customFormat="1" x14ac:dyDescent="0.3">
      <c r="A14" s="450"/>
      <c r="B14" s="465"/>
      <c r="C14" s="441"/>
      <c r="D14" s="441"/>
      <c r="E14" s="459"/>
      <c r="F14" s="438"/>
      <c r="G14" s="441"/>
      <c r="H14" s="444"/>
      <c r="I14" s="447"/>
      <c r="J14" s="441"/>
      <c r="K14" s="441"/>
      <c r="L14" s="441"/>
      <c r="M14" s="441"/>
      <c r="N14" s="376">
        <v>45021</v>
      </c>
      <c r="O14" s="516"/>
      <c r="P14" s="369">
        <v>2500</v>
      </c>
      <c r="Q14" s="370">
        <v>45035</v>
      </c>
      <c r="R14" s="371"/>
      <c r="S14" s="369"/>
      <c r="T14" s="369"/>
      <c r="U14" s="444"/>
      <c r="V14" s="453"/>
      <c r="W14" s="456"/>
      <c r="X14" s="111">
        <v>2</v>
      </c>
    </row>
    <row r="15" spans="1:24" s="200" customFormat="1" x14ac:dyDescent="0.3">
      <c r="A15" s="450"/>
      <c r="B15" s="465"/>
      <c r="C15" s="441"/>
      <c r="D15" s="441"/>
      <c r="E15" s="459"/>
      <c r="F15" s="438"/>
      <c r="G15" s="441"/>
      <c r="H15" s="444"/>
      <c r="I15" s="447"/>
      <c r="J15" s="441"/>
      <c r="K15" s="441"/>
      <c r="L15" s="441"/>
      <c r="M15" s="441"/>
      <c r="N15" s="376">
        <v>45041</v>
      </c>
      <c r="O15" s="516"/>
      <c r="P15" s="369">
        <v>2500</v>
      </c>
      <c r="Q15" s="370">
        <v>45049</v>
      </c>
      <c r="R15" s="371"/>
      <c r="S15" s="369"/>
      <c r="T15" s="369"/>
      <c r="U15" s="444"/>
      <c r="V15" s="453"/>
      <c r="W15" s="456"/>
      <c r="X15" s="200">
        <v>2</v>
      </c>
    </row>
    <row r="16" spans="1:24" s="353" customFormat="1" x14ac:dyDescent="0.3">
      <c r="A16" s="451"/>
      <c r="B16" s="466"/>
      <c r="C16" s="442"/>
      <c r="D16" s="442"/>
      <c r="E16" s="460"/>
      <c r="F16" s="439"/>
      <c r="G16" s="442"/>
      <c r="H16" s="445"/>
      <c r="I16" s="448"/>
      <c r="J16" s="442"/>
      <c r="K16" s="442"/>
      <c r="L16" s="442"/>
      <c r="M16" s="442"/>
      <c r="N16" s="377">
        <v>45224</v>
      </c>
      <c r="O16" s="517"/>
      <c r="P16" s="372">
        <v>2500</v>
      </c>
      <c r="Q16" s="373">
        <v>45231</v>
      </c>
      <c r="R16" s="374"/>
      <c r="S16" s="372"/>
      <c r="T16" s="372"/>
      <c r="U16" s="445"/>
      <c r="V16" s="454"/>
      <c r="W16" s="457"/>
      <c r="X16" s="353">
        <v>2</v>
      </c>
    </row>
    <row r="17" spans="1:24" s="107" customFormat="1" ht="93.75" customHeight="1" x14ac:dyDescent="0.3">
      <c r="A17" s="526">
        <v>3</v>
      </c>
      <c r="B17" s="529" t="s">
        <v>56</v>
      </c>
      <c r="C17" s="509" t="s">
        <v>146</v>
      </c>
      <c r="D17" s="509" t="s">
        <v>147</v>
      </c>
      <c r="E17" s="535" t="s">
        <v>173</v>
      </c>
      <c r="F17" s="538">
        <v>44951</v>
      </c>
      <c r="G17" s="509" t="s">
        <v>174</v>
      </c>
      <c r="H17" s="503">
        <v>9000</v>
      </c>
      <c r="I17" s="506">
        <f>IF(X17 = 8, H17 + SUM(S17:S20) - SUM(T17:T20) - SUM(P17:P20) - V17,0)</f>
        <v>0</v>
      </c>
      <c r="J17" s="509" t="s">
        <v>172</v>
      </c>
      <c r="K17" s="509" t="s">
        <v>171</v>
      </c>
      <c r="L17" s="509" t="s">
        <v>146</v>
      </c>
      <c r="M17" s="509" t="s">
        <v>175</v>
      </c>
      <c r="N17" s="121">
        <v>44957</v>
      </c>
      <c r="O17" s="541" t="s">
        <v>181</v>
      </c>
      <c r="P17" s="112">
        <v>3000</v>
      </c>
      <c r="Q17" s="113">
        <v>44963</v>
      </c>
      <c r="R17" s="114"/>
      <c r="S17" s="112"/>
      <c r="T17" s="112"/>
      <c r="U17" s="503"/>
      <c r="V17" s="544"/>
      <c r="W17" s="532"/>
      <c r="X17" s="107">
        <v>8</v>
      </c>
    </row>
    <row r="18" spans="1:24" s="106" customFormat="1" x14ac:dyDescent="0.3">
      <c r="A18" s="527"/>
      <c r="B18" s="530"/>
      <c r="C18" s="510"/>
      <c r="D18" s="510"/>
      <c r="E18" s="536"/>
      <c r="F18" s="539"/>
      <c r="G18" s="510"/>
      <c r="H18" s="504"/>
      <c r="I18" s="507"/>
      <c r="J18" s="510"/>
      <c r="K18" s="510"/>
      <c r="L18" s="510"/>
      <c r="M18" s="510"/>
      <c r="N18" s="122">
        <v>44985</v>
      </c>
      <c r="O18" s="542"/>
      <c r="P18" s="115">
        <v>3000</v>
      </c>
      <c r="Q18" s="116">
        <v>44986</v>
      </c>
      <c r="R18" s="117"/>
      <c r="S18" s="115"/>
      <c r="T18" s="115"/>
      <c r="U18" s="504"/>
      <c r="V18" s="545"/>
      <c r="W18" s="533"/>
      <c r="X18" s="106">
        <v>8</v>
      </c>
    </row>
    <row r="19" spans="1:24" s="111" customFormat="1" x14ac:dyDescent="0.3">
      <c r="A19" s="527"/>
      <c r="B19" s="530"/>
      <c r="C19" s="510"/>
      <c r="D19" s="510"/>
      <c r="E19" s="536"/>
      <c r="F19" s="539"/>
      <c r="G19" s="510"/>
      <c r="H19" s="504"/>
      <c r="I19" s="507"/>
      <c r="J19" s="510"/>
      <c r="K19" s="510"/>
      <c r="L19" s="510"/>
      <c r="M19" s="510"/>
      <c r="N19" s="122">
        <v>45016</v>
      </c>
      <c r="O19" s="542"/>
      <c r="P19" s="115">
        <v>3000</v>
      </c>
      <c r="Q19" s="116">
        <v>45022</v>
      </c>
      <c r="R19" s="117"/>
      <c r="S19" s="115"/>
      <c r="T19" s="115"/>
      <c r="U19" s="504"/>
      <c r="V19" s="545"/>
      <c r="W19" s="533"/>
      <c r="X19" s="111">
        <v>8</v>
      </c>
    </row>
    <row r="20" spans="1:24" s="111" customFormat="1" x14ac:dyDescent="0.3">
      <c r="A20" s="528"/>
      <c r="B20" s="531"/>
      <c r="C20" s="511"/>
      <c r="D20" s="511"/>
      <c r="E20" s="537"/>
      <c r="F20" s="540"/>
      <c r="G20" s="511"/>
      <c r="H20" s="505"/>
      <c r="I20" s="508"/>
      <c r="J20" s="511"/>
      <c r="K20" s="511"/>
      <c r="L20" s="511"/>
      <c r="M20" s="511"/>
      <c r="N20" s="123"/>
      <c r="O20" s="543"/>
      <c r="P20" s="118"/>
      <c r="Q20" s="119"/>
      <c r="R20" s="120"/>
      <c r="S20" s="118"/>
      <c r="T20" s="118"/>
      <c r="U20" s="505"/>
      <c r="V20" s="546"/>
      <c r="W20" s="534"/>
      <c r="X20" s="111">
        <v>8</v>
      </c>
    </row>
    <row r="21" spans="1:24" s="107" customFormat="1" ht="168.75" customHeight="1" x14ac:dyDescent="0.3">
      <c r="A21" s="449">
        <v>4</v>
      </c>
      <c r="B21" s="440" t="s">
        <v>56</v>
      </c>
      <c r="C21" s="440" t="s">
        <v>146</v>
      </c>
      <c r="D21" s="440" t="s">
        <v>147</v>
      </c>
      <c r="E21" s="458">
        <v>34000838</v>
      </c>
      <c r="F21" s="437">
        <v>44951</v>
      </c>
      <c r="G21" s="440" t="s">
        <v>192</v>
      </c>
      <c r="H21" s="443">
        <v>27331.200000000001</v>
      </c>
      <c r="I21" s="446">
        <f>IF(X21 = 23, H21 + SUM(S21:S30) - SUM(T21:T30) - SUM(P21:P30) - V21,0)</f>
        <v>4555.2000000000044</v>
      </c>
      <c r="J21" s="440" t="s">
        <v>193</v>
      </c>
      <c r="K21" s="440" t="s">
        <v>194</v>
      </c>
      <c r="L21" s="440" t="s">
        <v>146</v>
      </c>
      <c r="M21" s="440"/>
      <c r="N21" s="375">
        <v>44957</v>
      </c>
      <c r="O21" s="437" t="s">
        <v>181</v>
      </c>
      <c r="P21" s="366">
        <v>2277.6</v>
      </c>
      <c r="Q21" s="367">
        <v>44974</v>
      </c>
      <c r="R21" s="368"/>
      <c r="S21" s="366"/>
      <c r="T21" s="366"/>
      <c r="U21" s="443"/>
      <c r="V21" s="452"/>
      <c r="W21" s="455"/>
      <c r="X21" s="107">
        <v>23</v>
      </c>
    </row>
    <row r="22" spans="1:24" s="134" customFormat="1" x14ac:dyDescent="0.3">
      <c r="A22" s="450"/>
      <c r="B22" s="441"/>
      <c r="C22" s="441"/>
      <c r="D22" s="441"/>
      <c r="E22" s="459"/>
      <c r="F22" s="438"/>
      <c r="G22" s="441"/>
      <c r="H22" s="444"/>
      <c r="I22" s="447"/>
      <c r="J22" s="441"/>
      <c r="K22" s="441"/>
      <c r="L22" s="441"/>
      <c r="M22" s="441"/>
      <c r="N22" s="376">
        <v>44985</v>
      </c>
      <c r="O22" s="438"/>
      <c r="P22" s="369">
        <v>2277.6</v>
      </c>
      <c r="Q22" s="370">
        <v>44986</v>
      </c>
      <c r="R22" s="371"/>
      <c r="S22" s="369"/>
      <c r="T22" s="369"/>
      <c r="U22" s="444"/>
      <c r="V22" s="453"/>
      <c r="W22" s="456"/>
      <c r="X22" s="134">
        <v>23</v>
      </c>
    </row>
    <row r="23" spans="1:24" s="176" customFormat="1" x14ac:dyDescent="0.3">
      <c r="A23" s="450"/>
      <c r="B23" s="441"/>
      <c r="C23" s="441"/>
      <c r="D23" s="441"/>
      <c r="E23" s="459"/>
      <c r="F23" s="438"/>
      <c r="G23" s="441"/>
      <c r="H23" s="444"/>
      <c r="I23" s="447"/>
      <c r="J23" s="441"/>
      <c r="K23" s="441"/>
      <c r="L23" s="441"/>
      <c r="M23" s="441"/>
      <c r="N23" s="376">
        <v>45016</v>
      </c>
      <c r="O23" s="438"/>
      <c r="P23" s="369">
        <v>2277.6</v>
      </c>
      <c r="Q23" s="370">
        <v>45022</v>
      </c>
      <c r="R23" s="371"/>
      <c r="S23" s="369"/>
      <c r="T23" s="369"/>
      <c r="U23" s="444"/>
      <c r="V23" s="453"/>
      <c r="W23" s="456"/>
      <c r="X23" s="176">
        <v>23</v>
      </c>
    </row>
    <row r="24" spans="1:24" s="200" customFormat="1" x14ac:dyDescent="0.3">
      <c r="A24" s="450"/>
      <c r="B24" s="441"/>
      <c r="C24" s="441"/>
      <c r="D24" s="441"/>
      <c r="E24" s="459"/>
      <c r="F24" s="438"/>
      <c r="G24" s="441"/>
      <c r="H24" s="444"/>
      <c r="I24" s="447"/>
      <c r="J24" s="441"/>
      <c r="K24" s="441"/>
      <c r="L24" s="441"/>
      <c r="M24" s="441"/>
      <c r="N24" s="376">
        <v>45046</v>
      </c>
      <c r="O24" s="438"/>
      <c r="P24" s="369">
        <v>2277.6</v>
      </c>
      <c r="Q24" s="370">
        <v>45049</v>
      </c>
      <c r="R24" s="371"/>
      <c r="S24" s="369"/>
      <c r="T24" s="369"/>
      <c r="U24" s="444"/>
      <c r="V24" s="453"/>
      <c r="W24" s="456"/>
      <c r="X24" s="200">
        <v>23</v>
      </c>
    </row>
    <row r="25" spans="1:24" s="282" customFormat="1" x14ac:dyDescent="0.3">
      <c r="A25" s="450"/>
      <c r="B25" s="441"/>
      <c r="C25" s="441"/>
      <c r="D25" s="441"/>
      <c r="E25" s="459"/>
      <c r="F25" s="438"/>
      <c r="G25" s="441"/>
      <c r="H25" s="444"/>
      <c r="I25" s="447"/>
      <c r="J25" s="441"/>
      <c r="K25" s="441"/>
      <c r="L25" s="441"/>
      <c r="M25" s="441"/>
      <c r="N25" s="376">
        <v>45077</v>
      </c>
      <c r="O25" s="438"/>
      <c r="P25" s="369">
        <v>2277.6</v>
      </c>
      <c r="Q25" s="370">
        <v>45082</v>
      </c>
      <c r="R25" s="371"/>
      <c r="S25" s="369"/>
      <c r="T25" s="369"/>
      <c r="U25" s="444"/>
      <c r="V25" s="453"/>
      <c r="W25" s="456"/>
      <c r="X25" s="282">
        <v>23</v>
      </c>
    </row>
    <row r="26" spans="1:24" s="282" customFormat="1" x14ac:dyDescent="0.3">
      <c r="A26" s="450"/>
      <c r="B26" s="441"/>
      <c r="C26" s="441"/>
      <c r="D26" s="441"/>
      <c r="E26" s="459"/>
      <c r="F26" s="438"/>
      <c r="G26" s="441"/>
      <c r="H26" s="444"/>
      <c r="I26" s="447"/>
      <c r="J26" s="441"/>
      <c r="K26" s="441"/>
      <c r="L26" s="441"/>
      <c r="M26" s="441"/>
      <c r="N26" s="376">
        <v>45107</v>
      </c>
      <c r="O26" s="438"/>
      <c r="P26" s="369">
        <v>2277.6</v>
      </c>
      <c r="Q26" s="370">
        <v>45110</v>
      </c>
      <c r="R26" s="371"/>
      <c r="S26" s="369"/>
      <c r="T26" s="369"/>
      <c r="U26" s="444"/>
      <c r="V26" s="453"/>
      <c r="W26" s="456"/>
      <c r="X26" s="282">
        <v>23</v>
      </c>
    </row>
    <row r="27" spans="1:24" s="283" customFormat="1" x14ac:dyDescent="0.3">
      <c r="A27" s="450"/>
      <c r="B27" s="441"/>
      <c r="C27" s="441"/>
      <c r="D27" s="441"/>
      <c r="E27" s="459"/>
      <c r="F27" s="438"/>
      <c r="G27" s="441"/>
      <c r="H27" s="444"/>
      <c r="I27" s="447"/>
      <c r="J27" s="441"/>
      <c r="K27" s="441"/>
      <c r="L27" s="441"/>
      <c r="M27" s="441"/>
      <c r="N27" s="376">
        <v>45138</v>
      </c>
      <c r="O27" s="438"/>
      <c r="P27" s="369">
        <v>2277.6</v>
      </c>
      <c r="Q27" s="370">
        <v>45142</v>
      </c>
      <c r="R27" s="371"/>
      <c r="S27" s="369"/>
      <c r="T27" s="369"/>
      <c r="U27" s="444"/>
      <c r="V27" s="453"/>
      <c r="W27" s="456"/>
      <c r="X27" s="283">
        <v>23</v>
      </c>
    </row>
    <row r="28" spans="1:24" s="298" customFormat="1" x14ac:dyDescent="0.3">
      <c r="A28" s="450"/>
      <c r="B28" s="441"/>
      <c r="C28" s="441"/>
      <c r="D28" s="441"/>
      <c r="E28" s="459"/>
      <c r="F28" s="438"/>
      <c r="G28" s="441"/>
      <c r="H28" s="444"/>
      <c r="I28" s="447"/>
      <c r="J28" s="441"/>
      <c r="K28" s="441"/>
      <c r="L28" s="441"/>
      <c r="M28" s="441"/>
      <c r="N28" s="376">
        <v>45169</v>
      </c>
      <c r="O28" s="438"/>
      <c r="P28" s="369">
        <v>2277.6</v>
      </c>
      <c r="Q28" s="370">
        <v>45169</v>
      </c>
      <c r="R28" s="371"/>
      <c r="S28" s="369"/>
      <c r="T28" s="369"/>
      <c r="U28" s="444"/>
      <c r="V28" s="453"/>
      <c r="W28" s="456"/>
      <c r="X28" s="298">
        <v>23</v>
      </c>
    </row>
    <row r="29" spans="1:24" s="328" customFormat="1" x14ac:dyDescent="0.3">
      <c r="A29" s="450"/>
      <c r="B29" s="441"/>
      <c r="C29" s="441"/>
      <c r="D29" s="441"/>
      <c r="E29" s="459"/>
      <c r="F29" s="438"/>
      <c r="G29" s="441"/>
      <c r="H29" s="444"/>
      <c r="I29" s="447"/>
      <c r="J29" s="441"/>
      <c r="K29" s="441"/>
      <c r="L29" s="441"/>
      <c r="M29" s="441"/>
      <c r="N29" s="376">
        <v>45198</v>
      </c>
      <c r="O29" s="438"/>
      <c r="P29" s="369">
        <v>2277.6</v>
      </c>
      <c r="Q29" s="370">
        <v>45204</v>
      </c>
      <c r="R29" s="371"/>
      <c r="S29" s="369"/>
      <c r="T29" s="369"/>
      <c r="U29" s="444"/>
      <c r="V29" s="453"/>
      <c r="W29" s="456"/>
      <c r="X29" s="328">
        <v>23</v>
      </c>
    </row>
    <row r="30" spans="1:24" s="353" customFormat="1" x14ac:dyDescent="0.3">
      <c r="A30" s="451"/>
      <c r="B30" s="442"/>
      <c r="C30" s="442"/>
      <c r="D30" s="442"/>
      <c r="E30" s="460"/>
      <c r="F30" s="439"/>
      <c r="G30" s="442"/>
      <c r="H30" s="445"/>
      <c r="I30" s="448"/>
      <c r="J30" s="442"/>
      <c r="K30" s="442"/>
      <c r="L30" s="442"/>
      <c r="M30" s="442"/>
      <c r="N30" s="377">
        <v>45230</v>
      </c>
      <c r="O30" s="439"/>
      <c r="P30" s="372">
        <v>2277.6</v>
      </c>
      <c r="Q30" s="373">
        <v>45231</v>
      </c>
      <c r="R30" s="374"/>
      <c r="S30" s="372"/>
      <c r="T30" s="372"/>
      <c r="U30" s="445"/>
      <c r="V30" s="454"/>
      <c r="W30" s="457"/>
      <c r="X30" s="353">
        <v>23</v>
      </c>
    </row>
    <row r="31" spans="1:24" s="107" customFormat="1" ht="168.75" customHeight="1" x14ac:dyDescent="0.3">
      <c r="A31" s="449">
        <v>5</v>
      </c>
      <c r="B31" s="440" t="s">
        <v>56</v>
      </c>
      <c r="C31" s="440" t="s">
        <v>146</v>
      </c>
      <c r="D31" s="440" t="s">
        <v>147</v>
      </c>
      <c r="E31" s="458">
        <v>166</v>
      </c>
      <c r="F31" s="437">
        <v>44951</v>
      </c>
      <c r="G31" s="440" t="s">
        <v>203</v>
      </c>
      <c r="H31" s="443">
        <v>12000</v>
      </c>
      <c r="I31" s="446">
        <f>IF(X31 = 24, H31 + SUM(S31:S40) - SUM(T31:T40) - SUM(P31:P40) - V31,0)</f>
        <v>702.73999999999978</v>
      </c>
      <c r="J31" s="440" t="s">
        <v>204</v>
      </c>
      <c r="K31" s="440" t="s">
        <v>169</v>
      </c>
      <c r="L31" s="440" t="s">
        <v>146</v>
      </c>
      <c r="M31" s="440"/>
      <c r="N31" s="375">
        <v>44957</v>
      </c>
      <c r="O31" s="437" t="s">
        <v>181</v>
      </c>
      <c r="P31" s="366">
        <v>1246.25</v>
      </c>
      <c r="Q31" s="367">
        <v>44965</v>
      </c>
      <c r="R31" s="368"/>
      <c r="S31" s="366"/>
      <c r="T31" s="366"/>
      <c r="U31" s="443"/>
      <c r="V31" s="452"/>
      <c r="W31" s="455"/>
      <c r="X31" s="107">
        <v>24</v>
      </c>
    </row>
    <row r="32" spans="1:24" s="134" customFormat="1" x14ac:dyDescent="0.3">
      <c r="A32" s="450"/>
      <c r="B32" s="441"/>
      <c r="C32" s="441"/>
      <c r="D32" s="441"/>
      <c r="E32" s="459"/>
      <c r="F32" s="438"/>
      <c r="G32" s="441"/>
      <c r="H32" s="444"/>
      <c r="I32" s="447"/>
      <c r="J32" s="441"/>
      <c r="K32" s="441"/>
      <c r="L32" s="441"/>
      <c r="M32" s="441"/>
      <c r="N32" s="376">
        <v>44985</v>
      </c>
      <c r="O32" s="438"/>
      <c r="P32" s="369">
        <v>1193.94</v>
      </c>
      <c r="Q32" s="370">
        <v>44995</v>
      </c>
      <c r="R32" s="371"/>
      <c r="S32" s="369"/>
      <c r="T32" s="369"/>
      <c r="U32" s="444"/>
      <c r="V32" s="453"/>
      <c r="W32" s="456"/>
      <c r="X32" s="134">
        <v>24</v>
      </c>
    </row>
    <row r="33" spans="1:24" s="176" customFormat="1" x14ac:dyDescent="0.3">
      <c r="A33" s="450"/>
      <c r="B33" s="441"/>
      <c r="C33" s="441"/>
      <c r="D33" s="441"/>
      <c r="E33" s="459"/>
      <c r="F33" s="438"/>
      <c r="G33" s="441"/>
      <c r="H33" s="444"/>
      <c r="I33" s="447"/>
      <c r="J33" s="441"/>
      <c r="K33" s="441"/>
      <c r="L33" s="441"/>
      <c r="M33" s="441"/>
      <c r="N33" s="376">
        <v>45016</v>
      </c>
      <c r="O33" s="438"/>
      <c r="P33" s="369">
        <v>1291.82</v>
      </c>
      <c r="Q33" s="370">
        <v>45022</v>
      </c>
      <c r="R33" s="371"/>
      <c r="S33" s="369"/>
      <c r="T33" s="369"/>
      <c r="U33" s="444"/>
      <c r="V33" s="453"/>
      <c r="W33" s="456"/>
      <c r="X33" s="176">
        <v>24</v>
      </c>
    </row>
    <row r="34" spans="1:24" s="200" customFormat="1" x14ac:dyDescent="0.3">
      <c r="A34" s="450"/>
      <c r="B34" s="441"/>
      <c r="C34" s="441"/>
      <c r="D34" s="441"/>
      <c r="E34" s="459"/>
      <c r="F34" s="438"/>
      <c r="G34" s="441"/>
      <c r="H34" s="444"/>
      <c r="I34" s="447"/>
      <c r="J34" s="441"/>
      <c r="K34" s="441"/>
      <c r="L34" s="441"/>
      <c r="M34" s="441"/>
      <c r="N34" s="376">
        <v>45046</v>
      </c>
      <c r="O34" s="438"/>
      <c r="P34" s="369">
        <v>1075.28</v>
      </c>
      <c r="Q34" s="370">
        <v>45051</v>
      </c>
      <c r="R34" s="371"/>
      <c r="S34" s="369"/>
      <c r="T34" s="369"/>
      <c r="U34" s="444"/>
      <c r="V34" s="453"/>
      <c r="W34" s="456"/>
      <c r="X34" s="200">
        <v>24</v>
      </c>
    </row>
    <row r="35" spans="1:24" s="240" customFormat="1" x14ac:dyDescent="0.3">
      <c r="A35" s="450"/>
      <c r="B35" s="441"/>
      <c r="C35" s="441"/>
      <c r="D35" s="441"/>
      <c r="E35" s="459"/>
      <c r="F35" s="438"/>
      <c r="G35" s="441"/>
      <c r="H35" s="444"/>
      <c r="I35" s="447"/>
      <c r="J35" s="441"/>
      <c r="K35" s="441"/>
      <c r="L35" s="441"/>
      <c r="M35" s="441"/>
      <c r="N35" s="376">
        <v>45077</v>
      </c>
      <c r="O35" s="438"/>
      <c r="P35" s="369">
        <v>1097.26</v>
      </c>
      <c r="Q35" s="370">
        <v>45086</v>
      </c>
      <c r="R35" s="371"/>
      <c r="S35" s="369"/>
      <c r="T35" s="369"/>
      <c r="U35" s="444"/>
      <c r="V35" s="453"/>
      <c r="W35" s="456"/>
      <c r="X35" s="240">
        <v>24</v>
      </c>
    </row>
    <row r="36" spans="1:24" s="282" customFormat="1" x14ac:dyDescent="0.3">
      <c r="A36" s="450"/>
      <c r="B36" s="441"/>
      <c r="C36" s="441"/>
      <c r="D36" s="441"/>
      <c r="E36" s="459"/>
      <c r="F36" s="438"/>
      <c r="G36" s="441"/>
      <c r="H36" s="444"/>
      <c r="I36" s="447"/>
      <c r="J36" s="441"/>
      <c r="K36" s="441"/>
      <c r="L36" s="441"/>
      <c r="M36" s="441"/>
      <c r="N36" s="376">
        <v>45107</v>
      </c>
      <c r="O36" s="438"/>
      <c r="P36" s="369">
        <v>1060.01</v>
      </c>
      <c r="Q36" s="370">
        <v>45113</v>
      </c>
      <c r="R36" s="371"/>
      <c r="S36" s="369"/>
      <c r="T36" s="369"/>
      <c r="U36" s="444"/>
      <c r="V36" s="453"/>
      <c r="W36" s="456"/>
      <c r="X36" s="282">
        <v>24</v>
      </c>
    </row>
    <row r="37" spans="1:24" s="283" customFormat="1" x14ac:dyDescent="0.3">
      <c r="A37" s="450"/>
      <c r="B37" s="441"/>
      <c r="C37" s="441"/>
      <c r="D37" s="441"/>
      <c r="E37" s="459"/>
      <c r="F37" s="438"/>
      <c r="G37" s="441"/>
      <c r="H37" s="444"/>
      <c r="I37" s="447"/>
      <c r="J37" s="441"/>
      <c r="K37" s="441"/>
      <c r="L37" s="441"/>
      <c r="M37" s="441"/>
      <c r="N37" s="376">
        <v>45138</v>
      </c>
      <c r="O37" s="438"/>
      <c r="P37" s="369">
        <v>1086.04</v>
      </c>
      <c r="Q37" s="370">
        <v>45145</v>
      </c>
      <c r="R37" s="371"/>
      <c r="S37" s="369"/>
      <c r="T37" s="369"/>
      <c r="U37" s="444"/>
      <c r="V37" s="453"/>
      <c r="W37" s="456"/>
      <c r="X37" s="283">
        <v>24</v>
      </c>
    </row>
    <row r="38" spans="1:24" s="323" customFormat="1" x14ac:dyDescent="0.3">
      <c r="A38" s="450"/>
      <c r="B38" s="441"/>
      <c r="C38" s="441"/>
      <c r="D38" s="441"/>
      <c r="E38" s="459"/>
      <c r="F38" s="438"/>
      <c r="G38" s="441"/>
      <c r="H38" s="444"/>
      <c r="I38" s="447"/>
      <c r="J38" s="441"/>
      <c r="K38" s="441"/>
      <c r="L38" s="441"/>
      <c r="M38" s="441"/>
      <c r="N38" s="376">
        <v>45169</v>
      </c>
      <c r="O38" s="438"/>
      <c r="P38" s="369">
        <v>1033.6199999999999</v>
      </c>
      <c r="Q38" s="370">
        <v>45174</v>
      </c>
      <c r="R38" s="371"/>
      <c r="S38" s="369"/>
      <c r="T38" s="369"/>
      <c r="U38" s="444"/>
      <c r="V38" s="453"/>
      <c r="W38" s="456"/>
      <c r="X38" s="323">
        <v>24</v>
      </c>
    </row>
    <row r="39" spans="1:24" s="328" customFormat="1" x14ac:dyDescent="0.3">
      <c r="A39" s="450"/>
      <c r="B39" s="441"/>
      <c r="C39" s="441"/>
      <c r="D39" s="441"/>
      <c r="E39" s="459"/>
      <c r="F39" s="438"/>
      <c r="G39" s="441"/>
      <c r="H39" s="444"/>
      <c r="I39" s="447"/>
      <c r="J39" s="441"/>
      <c r="K39" s="441"/>
      <c r="L39" s="441"/>
      <c r="M39" s="441"/>
      <c r="N39" s="376">
        <v>45199</v>
      </c>
      <c r="O39" s="438"/>
      <c r="P39" s="369">
        <v>1124.56</v>
      </c>
      <c r="Q39" s="370">
        <v>45204</v>
      </c>
      <c r="R39" s="371"/>
      <c r="S39" s="369"/>
      <c r="T39" s="369"/>
      <c r="U39" s="444"/>
      <c r="V39" s="453"/>
      <c r="W39" s="456"/>
      <c r="X39" s="328">
        <v>24</v>
      </c>
    </row>
    <row r="40" spans="1:24" s="353" customFormat="1" x14ac:dyDescent="0.3">
      <c r="A40" s="451"/>
      <c r="B40" s="442"/>
      <c r="C40" s="442"/>
      <c r="D40" s="442"/>
      <c r="E40" s="460"/>
      <c r="F40" s="439"/>
      <c r="G40" s="442"/>
      <c r="H40" s="445"/>
      <c r="I40" s="448"/>
      <c r="J40" s="442"/>
      <c r="K40" s="442"/>
      <c r="L40" s="442"/>
      <c r="M40" s="442"/>
      <c r="N40" s="377">
        <v>45230</v>
      </c>
      <c r="O40" s="439"/>
      <c r="P40" s="372">
        <v>1088.48</v>
      </c>
      <c r="Q40" s="373">
        <v>45240</v>
      </c>
      <c r="R40" s="374"/>
      <c r="S40" s="372"/>
      <c r="T40" s="372"/>
      <c r="U40" s="445"/>
      <c r="V40" s="454"/>
      <c r="W40" s="457"/>
      <c r="X40" s="353">
        <v>24</v>
      </c>
    </row>
    <row r="41" spans="1:24" s="107" customFormat="1" ht="168.75" customHeight="1" x14ac:dyDescent="0.3">
      <c r="A41" s="449">
        <v>6</v>
      </c>
      <c r="B41" s="440" t="s">
        <v>56</v>
      </c>
      <c r="C41" s="440" t="s">
        <v>146</v>
      </c>
      <c r="D41" s="440" t="s">
        <v>147</v>
      </c>
      <c r="E41" s="461" t="s">
        <v>205</v>
      </c>
      <c r="F41" s="437">
        <v>44951</v>
      </c>
      <c r="G41" s="440" t="s">
        <v>203</v>
      </c>
      <c r="H41" s="443">
        <v>3000</v>
      </c>
      <c r="I41" s="446">
        <f>IF(X41 = 25, H41 + SUM(S41:S46) - SUM(T41:T46) - SUM(P41:P46) - V41,0)</f>
        <v>2928.7</v>
      </c>
      <c r="J41" s="440" t="s">
        <v>204</v>
      </c>
      <c r="K41" s="440" t="s">
        <v>169</v>
      </c>
      <c r="L41" s="440" t="s">
        <v>146</v>
      </c>
      <c r="M41" s="440"/>
      <c r="N41" s="375">
        <v>44957</v>
      </c>
      <c r="O41" s="437" t="s">
        <v>181</v>
      </c>
      <c r="P41" s="366">
        <v>18.36</v>
      </c>
      <c r="Q41" s="367">
        <v>44965</v>
      </c>
      <c r="R41" s="368"/>
      <c r="S41" s="366"/>
      <c r="T41" s="366"/>
      <c r="U41" s="443"/>
      <c r="V41" s="452"/>
      <c r="W41" s="455"/>
      <c r="X41" s="107">
        <v>25</v>
      </c>
    </row>
    <row r="42" spans="1:24" s="134" customFormat="1" x14ac:dyDescent="0.3">
      <c r="A42" s="450"/>
      <c r="B42" s="441"/>
      <c r="C42" s="441"/>
      <c r="D42" s="441"/>
      <c r="E42" s="462"/>
      <c r="F42" s="438"/>
      <c r="G42" s="441"/>
      <c r="H42" s="444"/>
      <c r="I42" s="447"/>
      <c r="J42" s="441"/>
      <c r="K42" s="441"/>
      <c r="L42" s="441"/>
      <c r="M42" s="441"/>
      <c r="N42" s="376">
        <v>44985</v>
      </c>
      <c r="O42" s="438"/>
      <c r="P42" s="369" t="s">
        <v>229</v>
      </c>
      <c r="Q42" s="370">
        <v>44995</v>
      </c>
      <c r="R42" s="371"/>
      <c r="S42" s="369"/>
      <c r="T42" s="369"/>
      <c r="U42" s="444"/>
      <c r="V42" s="453"/>
      <c r="W42" s="456"/>
      <c r="X42" s="134">
        <v>25</v>
      </c>
    </row>
    <row r="43" spans="1:24" s="176" customFormat="1" x14ac:dyDescent="0.3">
      <c r="A43" s="450"/>
      <c r="B43" s="441"/>
      <c r="C43" s="441"/>
      <c r="D43" s="441"/>
      <c r="E43" s="462"/>
      <c r="F43" s="438"/>
      <c r="G43" s="441"/>
      <c r="H43" s="444"/>
      <c r="I43" s="447"/>
      <c r="J43" s="441"/>
      <c r="K43" s="441"/>
      <c r="L43" s="441"/>
      <c r="M43" s="441"/>
      <c r="N43" s="376">
        <v>45077</v>
      </c>
      <c r="O43" s="438"/>
      <c r="P43" s="369">
        <v>2.95</v>
      </c>
      <c r="Q43" s="370">
        <v>45086</v>
      </c>
      <c r="R43" s="371"/>
      <c r="S43" s="369"/>
      <c r="T43" s="369"/>
      <c r="U43" s="444"/>
      <c r="V43" s="453"/>
      <c r="W43" s="456"/>
      <c r="X43" s="176">
        <v>25</v>
      </c>
    </row>
    <row r="44" spans="1:24" s="323" customFormat="1" x14ac:dyDescent="0.3">
      <c r="A44" s="450"/>
      <c r="B44" s="441"/>
      <c r="C44" s="441"/>
      <c r="D44" s="441"/>
      <c r="E44" s="462"/>
      <c r="F44" s="438"/>
      <c r="G44" s="441"/>
      <c r="H44" s="444"/>
      <c r="I44" s="447"/>
      <c r="J44" s="441"/>
      <c r="K44" s="441"/>
      <c r="L44" s="441"/>
      <c r="M44" s="441"/>
      <c r="N44" s="376">
        <v>45169</v>
      </c>
      <c r="O44" s="438"/>
      <c r="P44" s="369" t="s">
        <v>369</v>
      </c>
      <c r="Q44" s="370">
        <v>45174</v>
      </c>
      <c r="R44" s="371"/>
      <c r="S44" s="369"/>
      <c r="T44" s="369"/>
      <c r="U44" s="444"/>
      <c r="V44" s="453"/>
      <c r="W44" s="456"/>
      <c r="X44" s="323">
        <v>25</v>
      </c>
    </row>
    <row r="45" spans="1:24" s="328" customFormat="1" x14ac:dyDescent="0.3">
      <c r="A45" s="450"/>
      <c r="B45" s="441"/>
      <c r="C45" s="441"/>
      <c r="D45" s="441"/>
      <c r="E45" s="462"/>
      <c r="F45" s="438"/>
      <c r="G45" s="441"/>
      <c r="H45" s="444"/>
      <c r="I45" s="447"/>
      <c r="J45" s="441"/>
      <c r="K45" s="441"/>
      <c r="L45" s="441"/>
      <c r="M45" s="441"/>
      <c r="N45" s="376">
        <v>45199</v>
      </c>
      <c r="O45" s="438"/>
      <c r="P45" s="369">
        <v>47.04</v>
      </c>
      <c r="Q45" s="370">
        <v>45204</v>
      </c>
      <c r="R45" s="371"/>
      <c r="S45" s="369"/>
      <c r="T45" s="369"/>
      <c r="U45" s="444"/>
      <c r="V45" s="453"/>
      <c r="W45" s="456"/>
      <c r="X45" s="328">
        <v>25</v>
      </c>
    </row>
    <row r="46" spans="1:24" s="353" customFormat="1" x14ac:dyDescent="0.3">
      <c r="A46" s="451"/>
      <c r="B46" s="442"/>
      <c r="C46" s="442"/>
      <c r="D46" s="442"/>
      <c r="E46" s="463"/>
      <c r="F46" s="439"/>
      <c r="G46" s="442"/>
      <c r="H46" s="445"/>
      <c r="I46" s="448"/>
      <c r="J46" s="442"/>
      <c r="K46" s="442"/>
      <c r="L46" s="442"/>
      <c r="M46" s="442"/>
      <c r="N46" s="377">
        <v>45230</v>
      </c>
      <c r="O46" s="439"/>
      <c r="P46" s="372">
        <v>2.95</v>
      </c>
      <c r="Q46" s="373">
        <v>45240</v>
      </c>
      <c r="R46" s="374"/>
      <c r="S46" s="372"/>
      <c r="T46" s="372"/>
      <c r="U46" s="445"/>
      <c r="V46" s="454"/>
      <c r="W46" s="457"/>
      <c r="X46" s="353">
        <v>25</v>
      </c>
    </row>
    <row r="47" spans="1:24" s="107" customFormat="1" ht="168.75" customHeight="1" x14ac:dyDescent="0.3">
      <c r="A47" s="449">
        <v>7</v>
      </c>
      <c r="B47" s="440" t="s">
        <v>56</v>
      </c>
      <c r="C47" s="440" t="s">
        <v>146</v>
      </c>
      <c r="D47" s="440" t="s">
        <v>147</v>
      </c>
      <c r="E47" s="458">
        <v>4</v>
      </c>
      <c r="F47" s="437">
        <v>44952</v>
      </c>
      <c r="G47" s="440" t="s">
        <v>206</v>
      </c>
      <c r="H47" s="443">
        <v>24000</v>
      </c>
      <c r="I47" s="446">
        <f>IF(X47 = 26, H47 + SUM(S47:S56) - SUM(T47:T56) - SUM(P47:P56) - V47,0)</f>
        <v>4000</v>
      </c>
      <c r="J47" s="440" t="s">
        <v>172</v>
      </c>
      <c r="K47" s="440" t="s">
        <v>171</v>
      </c>
      <c r="L47" s="440" t="s">
        <v>146</v>
      </c>
      <c r="M47" s="440"/>
      <c r="N47" s="375">
        <v>44969</v>
      </c>
      <c r="O47" s="437" t="s">
        <v>181</v>
      </c>
      <c r="P47" s="366">
        <v>2000</v>
      </c>
      <c r="Q47" s="367">
        <v>44974</v>
      </c>
      <c r="R47" s="368"/>
      <c r="S47" s="366"/>
      <c r="T47" s="366"/>
      <c r="U47" s="443"/>
      <c r="V47" s="452"/>
      <c r="W47" s="455"/>
      <c r="X47" s="107">
        <v>26</v>
      </c>
    </row>
    <row r="48" spans="1:24" s="134" customFormat="1" x14ac:dyDescent="0.3">
      <c r="A48" s="450"/>
      <c r="B48" s="441"/>
      <c r="C48" s="441"/>
      <c r="D48" s="441"/>
      <c r="E48" s="459"/>
      <c r="F48" s="438"/>
      <c r="G48" s="441"/>
      <c r="H48" s="444"/>
      <c r="I48" s="447"/>
      <c r="J48" s="441"/>
      <c r="K48" s="441"/>
      <c r="L48" s="441"/>
      <c r="M48" s="441"/>
      <c r="N48" s="376">
        <v>44985</v>
      </c>
      <c r="O48" s="438"/>
      <c r="P48" s="369">
        <v>2000</v>
      </c>
      <c r="Q48" s="370">
        <v>44986</v>
      </c>
      <c r="R48" s="371"/>
      <c r="S48" s="369"/>
      <c r="T48" s="369"/>
      <c r="U48" s="444"/>
      <c r="V48" s="453"/>
      <c r="W48" s="456"/>
      <c r="X48" s="134">
        <v>26</v>
      </c>
    </row>
    <row r="49" spans="1:24" s="176" customFormat="1" x14ac:dyDescent="0.3">
      <c r="A49" s="450"/>
      <c r="B49" s="441"/>
      <c r="C49" s="441"/>
      <c r="D49" s="441"/>
      <c r="E49" s="459"/>
      <c r="F49" s="438"/>
      <c r="G49" s="441"/>
      <c r="H49" s="444"/>
      <c r="I49" s="447"/>
      <c r="J49" s="441"/>
      <c r="K49" s="441"/>
      <c r="L49" s="441"/>
      <c r="M49" s="441"/>
      <c r="N49" s="376">
        <v>45016</v>
      </c>
      <c r="O49" s="438"/>
      <c r="P49" s="369">
        <v>2000</v>
      </c>
      <c r="Q49" s="370">
        <v>45022</v>
      </c>
      <c r="R49" s="371"/>
      <c r="S49" s="369"/>
      <c r="T49" s="369"/>
      <c r="U49" s="444"/>
      <c r="V49" s="453"/>
      <c r="W49" s="456"/>
      <c r="X49" s="176">
        <v>26</v>
      </c>
    </row>
    <row r="50" spans="1:24" s="200" customFormat="1" x14ac:dyDescent="0.3">
      <c r="A50" s="450"/>
      <c r="B50" s="441"/>
      <c r="C50" s="441"/>
      <c r="D50" s="441"/>
      <c r="E50" s="459"/>
      <c r="F50" s="438"/>
      <c r="G50" s="441"/>
      <c r="H50" s="444"/>
      <c r="I50" s="447"/>
      <c r="J50" s="441"/>
      <c r="K50" s="441"/>
      <c r="L50" s="441"/>
      <c r="M50" s="441"/>
      <c r="N50" s="376">
        <v>45046</v>
      </c>
      <c r="O50" s="438"/>
      <c r="P50" s="369">
        <v>2000</v>
      </c>
      <c r="Q50" s="370">
        <v>45049</v>
      </c>
      <c r="R50" s="371"/>
      <c r="S50" s="369"/>
      <c r="T50" s="369"/>
      <c r="U50" s="444"/>
      <c r="V50" s="453"/>
      <c r="W50" s="456"/>
      <c r="X50" s="200">
        <v>26</v>
      </c>
    </row>
    <row r="51" spans="1:24" s="240" customFormat="1" x14ac:dyDescent="0.3">
      <c r="A51" s="450"/>
      <c r="B51" s="441"/>
      <c r="C51" s="441"/>
      <c r="D51" s="441"/>
      <c r="E51" s="459"/>
      <c r="F51" s="438"/>
      <c r="G51" s="441"/>
      <c r="H51" s="444"/>
      <c r="I51" s="447"/>
      <c r="J51" s="441"/>
      <c r="K51" s="441"/>
      <c r="L51" s="441"/>
      <c r="M51" s="441"/>
      <c r="N51" s="376">
        <v>45077</v>
      </c>
      <c r="O51" s="438"/>
      <c r="P51" s="369">
        <v>2000</v>
      </c>
      <c r="Q51" s="370">
        <v>45083</v>
      </c>
      <c r="R51" s="371"/>
      <c r="S51" s="369"/>
      <c r="T51" s="369"/>
      <c r="U51" s="444"/>
      <c r="V51" s="453"/>
      <c r="W51" s="456"/>
      <c r="X51" s="240">
        <v>26</v>
      </c>
    </row>
    <row r="52" spans="1:24" s="282" customFormat="1" x14ac:dyDescent="0.3">
      <c r="A52" s="450"/>
      <c r="B52" s="441"/>
      <c r="C52" s="441"/>
      <c r="D52" s="441"/>
      <c r="E52" s="459"/>
      <c r="F52" s="438"/>
      <c r="G52" s="441"/>
      <c r="H52" s="444"/>
      <c r="I52" s="447"/>
      <c r="J52" s="441"/>
      <c r="K52" s="441"/>
      <c r="L52" s="441"/>
      <c r="M52" s="441"/>
      <c r="N52" s="376">
        <v>45107</v>
      </c>
      <c r="O52" s="438"/>
      <c r="P52" s="369">
        <v>2000</v>
      </c>
      <c r="Q52" s="370">
        <v>45110</v>
      </c>
      <c r="R52" s="371"/>
      <c r="S52" s="369"/>
      <c r="T52" s="369"/>
      <c r="U52" s="444"/>
      <c r="V52" s="453"/>
      <c r="W52" s="456"/>
      <c r="X52" s="282">
        <v>26</v>
      </c>
    </row>
    <row r="53" spans="1:24" s="283" customFormat="1" x14ac:dyDescent="0.3">
      <c r="A53" s="450"/>
      <c r="B53" s="441"/>
      <c r="C53" s="441"/>
      <c r="D53" s="441"/>
      <c r="E53" s="459"/>
      <c r="F53" s="438"/>
      <c r="G53" s="441"/>
      <c r="H53" s="444"/>
      <c r="I53" s="447"/>
      <c r="J53" s="441"/>
      <c r="K53" s="441"/>
      <c r="L53" s="441"/>
      <c r="M53" s="441"/>
      <c r="N53" s="376">
        <v>45138</v>
      </c>
      <c r="O53" s="438"/>
      <c r="P53" s="369">
        <v>2000</v>
      </c>
      <c r="Q53" s="370">
        <v>45142</v>
      </c>
      <c r="R53" s="371"/>
      <c r="S53" s="369"/>
      <c r="T53" s="369"/>
      <c r="U53" s="444"/>
      <c r="V53" s="453"/>
      <c r="W53" s="456"/>
      <c r="X53" s="283">
        <v>26</v>
      </c>
    </row>
    <row r="54" spans="1:24" s="323" customFormat="1" x14ac:dyDescent="0.3">
      <c r="A54" s="450"/>
      <c r="B54" s="441"/>
      <c r="C54" s="441"/>
      <c r="D54" s="441"/>
      <c r="E54" s="459"/>
      <c r="F54" s="438"/>
      <c r="G54" s="441"/>
      <c r="H54" s="444"/>
      <c r="I54" s="447"/>
      <c r="J54" s="441"/>
      <c r="K54" s="441"/>
      <c r="L54" s="441"/>
      <c r="M54" s="441"/>
      <c r="N54" s="376">
        <v>45169</v>
      </c>
      <c r="O54" s="438"/>
      <c r="P54" s="369">
        <v>2000</v>
      </c>
      <c r="Q54" s="370">
        <v>45174</v>
      </c>
      <c r="R54" s="371"/>
      <c r="S54" s="369"/>
      <c r="T54" s="369"/>
      <c r="U54" s="444"/>
      <c r="V54" s="453"/>
      <c r="W54" s="456"/>
      <c r="X54" s="323">
        <v>26</v>
      </c>
    </row>
    <row r="55" spans="1:24" s="328" customFormat="1" x14ac:dyDescent="0.3">
      <c r="A55" s="450"/>
      <c r="B55" s="441"/>
      <c r="C55" s="441"/>
      <c r="D55" s="441"/>
      <c r="E55" s="459"/>
      <c r="F55" s="438"/>
      <c r="G55" s="441"/>
      <c r="H55" s="444"/>
      <c r="I55" s="447"/>
      <c r="J55" s="441"/>
      <c r="K55" s="441"/>
      <c r="L55" s="441"/>
      <c r="M55" s="441"/>
      <c r="N55" s="376">
        <v>45199</v>
      </c>
      <c r="O55" s="438"/>
      <c r="P55" s="369">
        <v>2000</v>
      </c>
      <c r="Q55" s="370">
        <v>45204</v>
      </c>
      <c r="R55" s="371"/>
      <c r="S55" s="369"/>
      <c r="T55" s="369"/>
      <c r="U55" s="444"/>
      <c r="V55" s="453"/>
      <c r="W55" s="456"/>
      <c r="X55" s="328">
        <v>26</v>
      </c>
    </row>
    <row r="56" spans="1:24" s="353" customFormat="1" x14ac:dyDescent="0.3">
      <c r="A56" s="451"/>
      <c r="B56" s="442"/>
      <c r="C56" s="442"/>
      <c r="D56" s="442"/>
      <c r="E56" s="460"/>
      <c r="F56" s="439"/>
      <c r="G56" s="442"/>
      <c r="H56" s="445"/>
      <c r="I56" s="448"/>
      <c r="J56" s="442"/>
      <c r="K56" s="442"/>
      <c r="L56" s="442"/>
      <c r="M56" s="442"/>
      <c r="N56" s="377">
        <v>45230</v>
      </c>
      <c r="O56" s="439"/>
      <c r="P56" s="372">
        <v>2000</v>
      </c>
      <c r="Q56" s="373">
        <v>45231</v>
      </c>
      <c r="R56" s="374"/>
      <c r="S56" s="372"/>
      <c r="T56" s="372"/>
      <c r="U56" s="445"/>
      <c r="V56" s="454"/>
      <c r="W56" s="457"/>
      <c r="X56" s="353">
        <v>26</v>
      </c>
    </row>
    <row r="57" spans="1:24" s="107" customFormat="1" ht="168.75" customHeight="1" x14ac:dyDescent="0.3">
      <c r="A57" s="485">
        <v>8</v>
      </c>
      <c r="B57" s="467" t="s">
        <v>56</v>
      </c>
      <c r="C57" s="467" t="s">
        <v>146</v>
      </c>
      <c r="D57" s="467" t="s">
        <v>147</v>
      </c>
      <c r="E57" s="500" t="s">
        <v>209</v>
      </c>
      <c r="F57" s="473">
        <v>44952</v>
      </c>
      <c r="G57" s="467" t="s">
        <v>208</v>
      </c>
      <c r="H57" s="476">
        <v>7200</v>
      </c>
      <c r="I57" s="479">
        <f>IF(X57 = 27, H57 + SUM(S57:S59) - SUM(T57:T59) - SUM(P57:P59) - V57,0)</f>
        <v>1800</v>
      </c>
      <c r="J57" s="467" t="s">
        <v>207</v>
      </c>
      <c r="K57" s="467" t="s">
        <v>158</v>
      </c>
      <c r="L57" s="467" t="s">
        <v>146</v>
      </c>
      <c r="M57" s="467"/>
      <c r="N57" s="348">
        <v>45016</v>
      </c>
      <c r="O57" s="473" t="s">
        <v>181</v>
      </c>
      <c r="P57" s="339">
        <v>1800</v>
      </c>
      <c r="Q57" s="340">
        <v>45020</v>
      </c>
      <c r="R57" s="341"/>
      <c r="S57" s="339"/>
      <c r="T57" s="339"/>
      <c r="U57" s="476"/>
      <c r="V57" s="488"/>
      <c r="W57" s="491"/>
      <c r="X57" s="107">
        <v>27</v>
      </c>
    </row>
    <row r="58" spans="1:24" s="282" customFormat="1" x14ac:dyDescent="0.3">
      <c r="A58" s="486"/>
      <c r="B58" s="468"/>
      <c r="C58" s="468"/>
      <c r="D58" s="468"/>
      <c r="E58" s="501"/>
      <c r="F58" s="474"/>
      <c r="G58" s="468"/>
      <c r="H58" s="477"/>
      <c r="I58" s="480"/>
      <c r="J58" s="468"/>
      <c r="K58" s="468"/>
      <c r="L58" s="468"/>
      <c r="M58" s="468"/>
      <c r="N58" s="349">
        <v>45107</v>
      </c>
      <c r="O58" s="474"/>
      <c r="P58" s="342">
        <v>1800</v>
      </c>
      <c r="Q58" s="343">
        <v>45112</v>
      </c>
      <c r="R58" s="344"/>
      <c r="S58" s="342"/>
      <c r="T58" s="342"/>
      <c r="U58" s="477"/>
      <c r="V58" s="489"/>
      <c r="W58" s="492"/>
      <c r="X58" s="282">
        <v>27</v>
      </c>
    </row>
    <row r="59" spans="1:24" s="328" customFormat="1" x14ac:dyDescent="0.3">
      <c r="A59" s="487"/>
      <c r="B59" s="469"/>
      <c r="C59" s="469"/>
      <c r="D59" s="469"/>
      <c r="E59" s="502"/>
      <c r="F59" s="475"/>
      <c r="G59" s="469"/>
      <c r="H59" s="478"/>
      <c r="I59" s="481"/>
      <c r="J59" s="469"/>
      <c r="K59" s="469"/>
      <c r="L59" s="469"/>
      <c r="M59" s="469"/>
      <c r="N59" s="350">
        <v>45199</v>
      </c>
      <c r="O59" s="475"/>
      <c r="P59" s="345">
        <v>1800</v>
      </c>
      <c r="Q59" s="346">
        <v>45203</v>
      </c>
      <c r="R59" s="347"/>
      <c r="S59" s="345"/>
      <c r="T59" s="345"/>
      <c r="U59" s="478"/>
      <c r="V59" s="490"/>
      <c r="W59" s="493"/>
      <c r="X59" s="328">
        <v>27</v>
      </c>
    </row>
    <row r="60" spans="1:24" s="107" customFormat="1" ht="144" x14ac:dyDescent="0.3">
      <c r="A60" s="124">
        <v>9</v>
      </c>
      <c r="B60" s="125" t="s">
        <v>56</v>
      </c>
      <c r="C60" s="125" t="s">
        <v>146</v>
      </c>
      <c r="D60" s="125" t="s">
        <v>147</v>
      </c>
      <c r="E60" s="149">
        <v>6</v>
      </c>
      <c r="F60" s="135">
        <v>44952</v>
      </c>
      <c r="G60" s="125" t="s">
        <v>210</v>
      </c>
      <c r="H60" s="127">
        <v>12000</v>
      </c>
      <c r="I60" s="128">
        <f>IF(X60 = 28, H60 + SUM(S60:S60) - SUM(T60:T60) - SUM(P60:P60) - V60,0)</f>
        <v>0</v>
      </c>
      <c r="J60" s="125" t="s">
        <v>211</v>
      </c>
      <c r="K60" s="125" t="s">
        <v>212</v>
      </c>
      <c r="L60" s="125" t="s">
        <v>146</v>
      </c>
      <c r="M60" s="125"/>
      <c r="N60" s="135">
        <v>44952</v>
      </c>
      <c r="O60" s="135" t="s">
        <v>181</v>
      </c>
      <c r="P60" s="127">
        <v>12000</v>
      </c>
      <c r="Q60" s="126">
        <v>44953</v>
      </c>
      <c r="R60" s="125"/>
      <c r="S60" s="127"/>
      <c r="T60" s="127"/>
      <c r="U60" s="127"/>
      <c r="V60" s="148"/>
      <c r="W60" s="133"/>
      <c r="X60" s="107">
        <v>28</v>
      </c>
    </row>
    <row r="61" spans="1:24" s="107" customFormat="1" x14ac:dyDescent="0.3">
      <c r="A61" s="449">
        <v>10</v>
      </c>
      <c r="B61" s="440" t="s">
        <v>56</v>
      </c>
      <c r="C61" s="440" t="s">
        <v>146</v>
      </c>
      <c r="D61" s="440" t="s">
        <v>147</v>
      </c>
      <c r="E61" s="461" t="s">
        <v>214</v>
      </c>
      <c r="F61" s="437">
        <v>44952</v>
      </c>
      <c r="G61" s="440" t="s">
        <v>213</v>
      </c>
      <c r="H61" s="443">
        <v>212400</v>
      </c>
      <c r="I61" s="446">
        <f>IF(X61 = 29, H61 + SUM(S61:S90) - SUM(T61:T90) - SUM(P61:P90) - V61,0)</f>
        <v>59500</v>
      </c>
      <c r="J61" s="440" t="s">
        <v>167</v>
      </c>
      <c r="K61" s="440" t="s">
        <v>168</v>
      </c>
      <c r="L61" s="440" t="s">
        <v>146</v>
      </c>
      <c r="M61" s="440"/>
      <c r="N61" s="375">
        <v>44957</v>
      </c>
      <c r="O61" s="437" t="s">
        <v>181</v>
      </c>
      <c r="P61" s="366">
        <v>4080</v>
      </c>
      <c r="Q61" s="367">
        <v>44964</v>
      </c>
      <c r="R61" s="368"/>
      <c r="S61" s="366"/>
      <c r="T61" s="366"/>
      <c r="U61" s="443"/>
      <c r="V61" s="452"/>
      <c r="W61" s="455"/>
      <c r="X61" s="107">
        <v>29</v>
      </c>
    </row>
    <row r="62" spans="1:24" s="132" customFormat="1" x14ac:dyDescent="0.3">
      <c r="A62" s="450"/>
      <c r="B62" s="441"/>
      <c r="C62" s="441"/>
      <c r="D62" s="441"/>
      <c r="E62" s="462"/>
      <c r="F62" s="438"/>
      <c r="G62" s="441"/>
      <c r="H62" s="444"/>
      <c r="I62" s="447"/>
      <c r="J62" s="441"/>
      <c r="K62" s="441"/>
      <c r="L62" s="441"/>
      <c r="M62" s="441"/>
      <c r="N62" s="376">
        <v>44957</v>
      </c>
      <c r="O62" s="438"/>
      <c r="P62" s="369">
        <v>4760</v>
      </c>
      <c r="Q62" s="370">
        <v>44964</v>
      </c>
      <c r="R62" s="371"/>
      <c r="S62" s="369"/>
      <c r="T62" s="369"/>
      <c r="U62" s="444"/>
      <c r="V62" s="453"/>
      <c r="W62" s="456"/>
      <c r="X62" s="132">
        <v>29</v>
      </c>
    </row>
    <row r="63" spans="1:24" s="132" customFormat="1" x14ac:dyDescent="0.3">
      <c r="A63" s="450"/>
      <c r="B63" s="441"/>
      <c r="C63" s="441"/>
      <c r="D63" s="441"/>
      <c r="E63" s="462"/>
      <c r="F63" s="438"/>
      <c r="G63" s="441"/>
      <c r="H63" s="444"/>
      <c r="I63" s="447"/>
      <c r="J63" s="441"/>
      <c r="K63" s="441"/>
      <c r="L63" s="441"/>
      <c r="M63" s="441"/>
      <c r="N63" s="376">
        <v>44957</v>
      </c>
      <c r="O63" s="438"/>
      <c r="P63" s="369">
        <v>6720</v>
      </c>
      <c r="Q63" s="370">
        <v>44964</v>
      </c>
      <c r="R63" s="371"/>
      <c r="S63" s="369"/>
      <c r="T63" s="369"/>
      <c r="U63" s="444"/>
      <c r="V63" s="453"/>
      <c r="W63" s="456"/>
      <c r="X63" s="132">
        <v>29</v>
      </c>
    </row>
    <row r="64" spans="1:24" s="134" customFormat="1" x14ac:dyDescent="0.3">
      <c r="A64" s="450"/>
      <c r="B64" s="441"/>
      <c r="C64" s="441"/>
      <c r="D64" s="441"/>
      <c r="E64" s="462"/>
      <c r="F64" s="438"/>
      <c r="G64" s="441"/>
      <c r="H64" s="444"/>
      <c r="I64" s="447"/>
      <c r="J64" s="441"/>
      <c r="K64" s="441"/>
      <c r="L64" s="441"/>
      <c r="M64" s="441"/>
      <c r="N64" s="376">
        <v>44985</v>
      </c>
      <c r="O64" s="438"/>
      <c r="P64" s="369">
        <v>3960</v>
      </c>
      <c r="Q64" s="370">
        <v>44995</v>
      </c>
      <c r="R64" s="371"/>
      <c r="S64" s="369"/>
      <c r="T64" s="369"/>
      <c r="U64" s="444"/>
      <c r="V64" s="453"/>
      <c r="W64" s="456"/>
      <c r="X64" s="134">
        <v>29</v>
      </c>
    </row>
    <row r="65" spans="1:24" s="134" customFormat="1" x14ac:dyDescent="0.3">
      <c r="A65" s="450"/>
      <c r="B65" s="441"/>
      <c r="C65" s="441"/>
      <c r="D65" s="441"/>
      <c r="E65" s="462"/>
      <c r="F65" s="438"/>
      <c r="G65" s="441"/>
      <c r="H65" s="444"/>
      <c r="I65" s="447"/>
      <c r="J65" s="441"/>
      <c r="K65" s="441"/>
      <c r="L65" s="441"/>
      <c r="M65" s="441"/>
      <c r="N65" s="376">
        <v>44985</v>
      </c>
      <c r="O65" s="438"/>
      <c r="P65" s="369">
        <v>4620</v>
      </c>
      <c r="Q65" s="370">
        <v>44995</v>
      </c>
      <c r="R65" s="371"/>
      <c r="S65" s="369"/>
      <c r="T65" s="369"/>
      <c r="U65" s="444"/>
      <c r="V65" s="453"/>
      <c r="W65" s="456"/>
      <c r="X65" s="134">
        <v>29</v>
      </c>
    </row>
    <row r="66" spans="1:24" s="134" customFormat="1" x14ac:dyDescent="0.3">
      <c r="A66" s="450"/>
      <c r="B66" s="441"/>
      <c r="C66" s="441"/>
      <c r="D66" s="441"/>
      <c r="E66" s="462"/>
      <c r="F66" s="438"/>
      <c r="G66" s="441"/>
      <c r="H66" s="444"/>
      <c r="I66" s="447"/>
      <c r="J66" s="441"/>
      <c r="K66" s="441"/>
      <c r="L66" s="441"/>
      <c r="M66" s="441"/>
      <c r="N66" s="376">
        <v>44985</v>
      </c>
      <c r="O66" s="438"/>
      <c r="P66" s="369">
        <v>5760</v>
      </c>
      <c r="Q66" s="370">
        <v>44995</v>
      </c>
      <c r="R66" s="371"/>
      <c r="S66" s="369"/>
      <c r="T66" s="369"/>
      <c r="U66" s="444"/>
      <c r="V66" s="453"/>
      <c r="W66" s="456"/>
      <c r="X66" s="134">
        <v>29</v>
      </c>
    </row>
    <row r="67" spans="1:24" s="176" customFormat="1" x14ac:dyDescent="0.3">
      <c r="A67" s="450"/>
      <c r="B67" s="441"/>
      <c r="C67" s="441"/>
      <c r="D67" s="441"/>
      <c r="E67" s="462"/>
      <c r="F67" s="438"/>
      <c r="G67" s="441"/>
      <c r="H67" s="444"/>
      <c r="I67" s="447"/>
      <c r="J67" s="441"/>
      <c r="K67" s="441"/>
      <c r="L67" s="441"/>
      <c r="M67" s="441"/>
      <c r="N67" s="376">
        <v>45016</v>
      </c>
      <c r="O67" s="438"/>
      <c r="P67" s="369">
        <v>5160</v>
      </c>
      <c r="Q67" s="370">
        <v>45027</v>
      </c>
      <c r="R67" s="371"/>
      <c r="S67" s="369"/>
      <c r="T67" s="369"/>
      <c r="U67" s="444"/>
      <c r="V67" s="453"/>
      <c r="W67" s="456"/>
      <c r="X67" s="176">
        <v>29</v>
      </c>
    </row>
    <row r="68" spans="1:24" s="176" customFormat="1" x14ac:dyDescent="0.3">
      <c r="A68" s="450"/>
      <c r="B68" s="441"/>
      <c r="C68" s="441"/>
      <c r="D68" s="441"/>
      <c r="E68" s="462"/>
      <c r="F68" s="438"/>
      <c r="G68" s="441"/>
      <c r="H68" s="444"/>
      <c r="I68" s="447"/>
      <c r="J68" s="441"/>
      <c r="K68" s="441"/>
      <c r="L68" s="441"/>
      <c r="M68" s="441"/>
      <c r="N68" s="376">
        <v>45016</v>
      </c>
      <c r="O68" s="438"/>
      <c r="P68" s="369">
        <v>6020</v>
      </c>
      <c r="Q68" s="370">
        <v>45027</v>
      </c>
      <c r="R68" s="371"/>
      <c r="S68" s="369"/>
      <c r="T68" s="369"/>
      <c r="U68" s="444"/>
      <c r="V68" s="453"/>
      <c r="W68" s="456"/>
      <c r="X68" s="176">
        <v>29</v>
      </c>
    </row>
    <row r="69" spans="1:24" s="176" customFormat="1" x14ac:dyDescent="0.3">
      <c r="A69" s="450"/>
      <c r="B69" s="441"/>
      <c r="C69" s="441"/>
      <c r="D69" s="441"/>
      <c r="E69" s="462"/>
      <c r="F69" s="438"/>
      <c r="G69" s="441"/>
      <c r="H69" s="444"/>
      <c r="I69" s="447"/>
      <c r="J69" s="441"/>
      <c r="K69" s="441"/>
      <c r="L69" s="441"/>
      <c r="M69" s="441"/>
      <c r="N69" s="376">
        <v>45016</v>
      </c>
      <c r="O69" s="438"/>
      <c r="P69" s="369">
        <v>7440</v>
      </c>
      <c r="Q69" s="370">
        <v>45027</v>
      </c>
      <c r="R69" s="371"/>
      <c r="S69" s="369"/>
      <c r="T69" s="369"/>
      <c r="U69" s="444"/>
      <c r="V69" s="453"/>
      <c r="W69" s="456"/>
      <c r="X69" s="176">
        <v>29</v>
      </c>
    </row>
    <row r="70" spans="1:24" s="200" customFormat="1" x14ac:dyDescent="0.3">
      <c r="A70" s="450"/>
      <c r="B70" s="441"/>
      <c r="C70" s="441"/>
      <c r="D70" s="441"/>
      <c r="E70" s="462"/>
      <c r="F70" s="438"/>
      <c r="G70" s="441"/>
      <c r="H70" s="444"/>
      <c r="I70" s="447"/>
      <c r="J70" s="441"/>
      <c r="K70" s="441"/>
      <c r="L70" s="441"/>
      <c r="M70" s="441"/>
      <c r="N70" s="376">
        <v>45046</v>
      </c>
      <c r="O70" s="438"/>
      <c r="P70" s="369">
        <v>5040</v>
      </c>
      <c r="Q70" s="370">
        <v>45061</v>
      </c>
      <c r="R70" s="371"/>
      <c r="S70" s="369"/>
      <c r="T70" s="369"/>
      <c r="U70" s="444"/>
      <c r="V70" s="453"/>
      <c r="W70" s="456"/>
      <c r="X70" s="200">
        <v>29</v>
      </c>
    </row>
    <row r="71" spans="1:24" s="200" customFormat="1" x14ac:dyDescent="0.3">
      <c r="A71" s="450"/>
      <c r="B71" s="441"/>
      <c r="C71" s="441"/>
      <c r="D71" s="441"/>
      <c r="E71" s="462"/>
      <c r="F71" s="438"/>
      <c r="G71" s="441"/>
      <c r="H71" s="444"/>
      <c r="I71" s="447"/>
      <c r="J71" s="441"/>
      <c r="K71" s="441"/>
      <c r="L71" s="441"/>
      <c r="M71" s="441"/>
      <c r="N71" s="376">
        <v>45046</v>
      </c>
      <c r="O71" s="438"/>
      <c r="P71" s="369">
        <v>5880</v>
      </c>
      <c r="Q71" s="370">
        <v>45061</v>
      </c>
      <c r="R71" s="371"/>
      <c r="S71" s="369"/>
      <c r="T71" s="369"/>
      <c r="U71" s="444"/>
      <c r="V71" s="453"/>
      <c r="W71" s="456"/>
      <c r="X71" s="200">
        <v>29</v>
      </c>
    </row>
    <row r="72" spans="1:24" s="200" customFormat="1" x14ac:dyDescent="0.3">
      <c r="A72" s="450"/>
      <c r="B72" s="441"/>
      <c r="C72" s="441"/>
      <c r="D72" s="441"/>
      <c r="E72" s="462"/>
      <c r="F72" s="438"/>
      <c r="G72" s="441"/>
      <c r="H72" s="444"/>
      <c r="I72" s="447"/>
      <c r="J72" s="441"/>
      <c r="K72" s="441"/>
      <c r="L72" s="441"/>
      <c r="M72" s="441"/>
      <c r="N72" s="376">
        <v>45046</v>
      </c>
      <c r="O72" s="438"/>
      <c r="P72" s="369">
        <v>7200</v>
      </c>
      <c r="Q72" s="370">
        <v>45061</v>
      </c>
      <c r="R72" s="371"/>
      <c r="S72" s="369"/>
      <c r="T72" s="369"/>
      <c r="U72" s="444"/>
      <c r="V72" s="453"/>
      <c r="W72" s="456"/>
      <c r="X72" s="200">
        <v>29</v>
      </c>
    </row>
    <row r="73" spans="1:24" s="240" customFormat="1" x14ac:dyDescent="0.3">
      <c r="A73" s="450"/>
      <c r="B73" s="441"/>
      <c r="C73" s="441"/>
      <c r="D73" s="441"/>
      <c r="E73" s="462"/>
      <c r="F73" s="438"/>
      <c r="G73" s="441"/>
      <c r="H73" s="444"/>
      <c r="I73" s="447"/>
      <c r="J73" s="441"/>
      <c r="K73" s="441"/>
      <c r="L73" s="441"/>
      <c r="M73" s="441"/>
      <c r="N73" s="376">
        <v>45077</v>
      </c>
      <c r="O73" s="438"/>
      <c r="P73" s="369">
        <v>4440</v>
      </c>
      <c r="Q73" s="370">
        <v>45082</v>
      </c>
      <c r="R73" s="371"/>
      <c r="S73" s="369"/>
      <c r="T73" s="369"/>
      <c r="U73" s="444"/>
      <c r="V73" s="453"/>
      <c r="W73" s="456"/>
      <c r="X73" s="240">
        <v>29</v>
      </c>
    </row>
    <row r="74" spans="1:24" s="240" customFormat="1" x14ac:dyDescent="0.3">
      <c r="A74" s="450"/>
      <c r="B74" s="441"/>
      <c r="C74" s="441"/>
      <c r="D74" s="441"/>
      <c r="E74" s="462"/>
      <c r="F74" s="438"/>
      <c r="G74" s="441"/>
      <c r="H74" s="444"/>
      <c r="I74" s="447"/>
      <c r="J74" s="441"/>
      <c r="K74" s="441"/>
      <c r="L74" s="441"/>
      <c r="M74" s="441"/>
      <c r="N74" s="376">
        <v>45077</v>
      </c>
      <c r="O74" s="438"/>
      <c r="P74" s="369">
        <v>5180</v>
      </c>
      <c r="Q74" s="370">
        <v>45082</v>
      </c>
      <c r="R74" s="371"/>
      <c r="S74" s="369"/>
      <c r="T74" s="369"/>
      <c r="U74" s="444"/>
      <c r="V74" s="453"/>
      <c r="W74" s="456"/>
      <c r="X74" s="240">
        <v>29</v>
      </c>
    </row>
    <row r="75" spans="1:24" s="240" customFormat="1" x14ac:dyDescent="0.3">
      <c r="A75" s="450"/>
      <c r="B75" s="441"/>
      <c r="C75" s="441"/>
      <c r="D75" s="441"/>
      <c r="E75" s="462"/>
      <c r="F75" s="438"/>
      <c r="G75" s="441"/>
      <c r="H75" s="444"/>
      <c r="I75" s="447"/>
      <c r="J75" s="441"/>
      <c r="K75" s="441"/>
      <c r="L75" s="441"/>
      <c r="M75" s="441"/>
      <c r="N75" s="376">
        <v>45077</v>
      </c>
      <c r="O75" s="438"/>
      <c r="P75" s="369">
        <v>7440</v>
      </c>
      <c r="Q75" s="370">
        <v>45082</v>
      </c>
      <c r="R75" s="371"/>
      <c r="S75" s="369"/>
      <c r="T75" s="369"/>
      <c r="U75" s="444"/>
      <c r="V75" s="453"/>
      <c r="W75" s="456"/>
      <c r="X75" s="240">
        <v>29</v>
      </c>
    </row>
    <row r="76" spans="1:24" s="282" customFormat="1" x14ac:dyDescent="0.3">
      <c r="A76" s="450"/>
      <c r="B76" s="441"/>
      <c r="C76" s="441"/>
      <c r="D76" s="441"/>
      <c r="E76" s="462"/>
      <c r="F76" s="438"/>
      <c r="G76" s="441"/>
      <c r="H76" s="444"/>
      <c r="I76" s="447"/>
      <c r="J76" s="441"/>
      <c r="K76" s="441"/>
      <c r="L76" s="441"/>
      <c r="M76" s="441"/>
      <c r="N76" s="376">
        <v>45107</v>
      </c>
      <c r="O76" s="438"/>
      <c r="P76" s="369">
        <v>3360</v>
      </c>
      <c r="Q76" s="370">
        <v>45118</v>
      </c>
      <c r="R76" s="371"/>
      <c r="S76" s="369"/>
      <c r="T76" s="369"/>
      <c r="U76" s="444"/>
      <c r="V76" s="453"/>
      <c r="W76" s="456"/>
      <c r="X76" s="282">
        <v>29</v>
      </c>
    </row>
    <row r="77" spans="1:24" s="282" customFormat="1" x14ac:dyDescent="0.3">
      <c r="A77" s="450"/>
      <c r="B77" s="441"/>
      <c r="C77" s="441"/>
      <c r="D77" s="441"/>
      <c r="E77" s="462"/>
      <c r="F77" s="438"/>
      <c r="G77" s="441"/>
      <c r="H77" s="444"/>
      <c r="I77" s="447"/>
      <c r="J77" s="441"/>
      <c r="K77" s="441"/>
      <c r="L77" s="441"/>
      <c r="M77" s="441"/>
      <c r="N77" s="376">
        <v>45107</v>
      </c>
      <c r="O77" s="438"/>
      <c r="P77" s="369">
        <v>3920</v>
      </c>
      <c r="Q77" s="370">
        <v>45118</v>
      </c>
      <c r="R77" s="371"/>
      <c r="S77" s="369"/>
      <c r="T77" s="369"/>
      <c r="U77" s="444"/>
      <c r="V77" s="453"/>
      <c r="W77" s="456"/>
      <c r="X77" s="282">
        <v>29</v>
      </c>
    </row>
    <row r="78" spans="1:24" s="282" customFormat="1" x14ac:dyDescent="0.3">
      <c r="A78" s="450"/>
      <c r="B78" s="441"/>
      <c r="C78" s="441"/>
      <c r="D78" s="441"/>
      <c r="E78" s="462"/>
      <c r="F78" s="438"/>
      <c r="G78" s="441"/>
      <c r="H78" s="444"/>
      <c r="I78" s="447"/>
      <c r="J78" s="441"/>
      <c r="K78" s="441"/>
      <c r="L78" s="441"/>
      <c r="M78" s="441"/>
      <c r="N78" s="376">
        <v>45107</v>
      </c>
      <c r="O78" s="438"/>
      <c r="P78" s="369">
        <v>6720</v>
      </c>
      <c r="Q78" s="370">
        <v>45118</v>
      </c>
      <c r="R78" s="371"/>
      <c r="S78" s="369"/>
      <c r="T78" s="369"/>
      <c r="U78" s="444"/>
      <c r="V78" s="453"/>
      <c r="W78" s="456"/>
      <c r="X78" s="282">
        <v>29</v>
      </c>
    </row>
    <row r="79" spans="1:24" s="283" customFormat="1" x14ac:dyDescent="0.3">
      <c r="A79" s="450"/>
      <c r="B79" s="441"/>
      <c r="C79" s="441"/>
      <c r="D79" s="441"/>
      <c r="E79" s="462"/>
      <c r="F79" s="438"/>
      <c r="G79" s="441"/>
      <c r="H79" s="444"/>
      <c r="I79" s="447"/>
      <c r="J79" s="441"/>
      <c r="K79" s="441"/>
      <c r="L79" s="441"/>
      <c r="M79" s="441"/>
      <c r="N79" s="376">
        <v>45138</v>
      </c>
      <c r="O79" s="438"/>
      <c r="P79" s="369">
        <v>960</v>
      </c>
      <c r="Q79" s="370">
        <v>45148</v>
      </c>
      <c r="R79" s="371"/>
      <c r="S79" s="369"/>
      <c r="T79" s="369"/>
      <c r="U79" s="444"/>
      <c r="V79" s="453"/>
      <c r="W79" s="456"/>
      <c r="X79" s="283">
        <v>29</v>
      </c>
    </row>
    <row r="80" spans="1:24" s="283" customFormat="1" x14ac:dyDescent="0.3">
      <c r="A80" s="450"/>
      <c r="B80" s="441"/>
      <c r="C80" s="441"/>
      <c r="D80" s="441"/>
      <c r="E80" s="462"/>
      <c r="F80" s="438"/>
      <c r="G80" s="441"/>
      <c r="H80" s="444"/>
      <c r="I80" s="447"/>
      <c r="J80" s="441"/>
      <c r="K80" s="441"/>
      <c r="L80" s="441"/>
      <c r="M80" s="441"/>
      <c r="N80" s="376">
        <v>45138</v>
      </c>
      <c r="O80" s="438"/>
      <c r="P80" s="369">
        <v>1120</v>
      </c>
      <c r="Q80" s="370">
        <v>45148</v>
      </c>
      <c r="R80" s="371"/>
      <c r="S80" s="369"/>
      <c r="T80" s="369"/>
      <c r="U80" s="444"/>
      <c r="V80" s="453"/>
      <c r="W80" s="456"/>
      <c r="X80" s="283">
        <v>29</v>
      </c>
    </row>
    <row r="81" spans="1:24" s="283" customFormat="1" x14ac:dyDescent="0.3">
      <c r="A81" s="450"/>
      <c r="B81" s="441"/>
      <c r="C81" s="441"/>
      <c r="D81" s="441"/>
      <c r="E81" s="462"/>
      <c r="F81" s="438"/>
      <c r="G81" s="441"/>
      <c r="H81" s="444"/>
      <c r="I81" s="447"/>
      <c r="J81" s="441"/>
      <c r="K81" s="441"/>
      <c r="L81" s="441"/>
      <c r="M81" s="441"/>
      <c r="N81" s="376">
        <v>45138</v>
      </c>
      <c r="O81" s="438"/>
      <c r="P81" s="369">
        <v>7440</v>
      </c>
      <c r="Q81" s="370">
        <v>45148</v>
      </c>
      <c r="R81" s="371"/>
      <c r="S81" s="369"/>
      <c r="T81" s="369"/>
      <c r="U81" s="444"/>
      <c r="V81" s="453"/>
      <c r="W81" s="456"/>
      <c r="X81" s="283">
        <v>29</v>
      </c>
    </row>
    <row r="82" spans="1:24" s="323" customFormat="1" x14ac:dyDescent="0.3">
      <c r="A82" s="450"/>
      <c r="B82" s="441"/>
      <c r="C82" s="441"/>
      <c r="D82" s="441"/>
      <c r="E82" s="462"/>
      <c r="F82" s="438"/>
      <c r="G82" s="441"/>
      <c r="H82" s="444"/>
      <c r="I82" s="447"/>
      <c r="J82" s="441"/>
      <c r="K82" s="441"/>
      <c r="L82" s="441"/>
      <c r="M82" s="441"/>
      <c r="N82" s="376">
        <v>45169</v>
      </c>
      <c r="O82" s="438"/>
      <c r="P82" s="369">
        <v>960</v>
      </c>
      <c r="Q82" s="370">
        <v>45175</v>
      </c>
      <c r="R82" s="371"/>
      <c r="S82" s="369"/>
      <c r="T82" s="369"/>
      <c r="U82" s="444"/>
      <c r="V82" s="453"/>
      <c r="W82" s="456"/>
      <c r="X82" s="323">
        <v>29</v>
      </c>
    </row>
    <row r="83" spans="1:24" s="323" customFormat="1" x14ac:dyDescent="0.3">
      <c r="A83" s="450"/>
      <c r="B83" s="441"/>
      <c r="C83" s="441"/>
      <c r="D83" s="441"/>
      <c r="E83" s="462"/>
      <c r="F83" s="438"/>
      <c r="G83" s="441"/>
      <c r="H83" s="444"/>
      <c r="I83" s="447"/>
      <c r="J83" s="441"/>
      <c r="K83" s="441"/>
      <c r="L83" s="441"/>
      <c r="M83" s="441"/>
      <c r="N83" s="376">
        <v>45169</v>
      </c>
      <c r="O83" s="438"/>
      <c r="P83" s="369">
        <v>1120</v>
      </c>
      <c r="Q83" s="370">
        <v>45175</v>
      </c>
      <c r="R83" s="371"/>
      <c r="S83" s="369"/>
      <c r="T83" s="369"/>
      <c r="U83" s="444"/>
      <c r="V83" s="453"/>
      <c r="W83" s="456"/>
      <c r="X83" s="323">
        <v>29</v>
      </c>
    </row>
    <row r="84" spans="1:24" s="323" customFormat="1" x14ac:dyDescent="0.3">
      <c r="A84" s="450"/>
      <c r="B84" s="441"/>
      <c r="C84" s="441"/>
      <c r="D84" s="441"/>
      <c r="E84" s="462"/>
      <c r="F84" s="438"/>
      <c r="G84" s="441"/>
      <c r="H84" s="444"/>
      <c r="I84" s="447"/>
      <c r="J84" s="441"/>
      <c r="K84" s="441"/>
      <c r="L84" s="441"/>
      <c r="M84" s="441"/>
      <c r="N84" s="376">
        <v>45169</v>
      </c>
      <c r="O84" s="438"/>
      <c r="P84" s="369">
        <v>7440</v>
      </c>
      <c r="Q84" s="370">
        <v>45175</v>
      </c>
      <c r="R84" s="371"/>
      <c r="S84" s="369"/>
      <c r="T84" s="369"/>
      <c r="U84" s="444"/>
      <c r="V84" s="453"/>
      <c r="W84" s="456"/>
      <c r="X84" s="323">
        <v>29</v>
      </c>
    </row>
    <row r="85" spans="1:24" s="328" customFormat="1" x14ac:dyDescent="0.3">
      <c r="A85" s="450"/>
      <c r="B85" s="441"/>
      <c r="C85" s="441"/>
      <c r="D85" s="441"/>
      <c r="E85" s="462"/>
      <c r="F85" s="438"/>
      <c r="G85" s="441"/>
      <c r="H85" s="444"/>
      <c r="I85" s="447"/>
      <c r="J85" s="441"/>
      <c r="K85" s="441"/>
      <c r="L85" s="441"/>
      <c r="M85" s="441"/>
      <c r="N85" s="376">
        <v>45199</v>
      </c>
      <c r="O85" s="438"/>
      <c r="P85" s="369">
        <v>5400</v>
      </c>
      <c r="Q85" s="370">
        <v>45205</v>
      </c>
      <c r="R85" s="371"/>
      <c r="S85" s="369"/>
      <c r="T85" s="369"/>
      <c r="U85" s="444"/>
      <c r="V85" s="453"/>
      <c r="W85" s="456"/>
      <c r="X85" s="328">
        <v>29</v>
      </c>
    </row>
    <row r="86" spans="1:24" s="328" customFormat="1" x14ac:dyDescent="0.3">
      <c r="A86" s="450"/>
      <c r="B86" s="441"/>
      <c r="C86" s="441"/>
      <c r="D86" s="441"/>
      <c r="E86" s="462"/>
      <c r="F86" s="438"/>
      <c r="G86" s="441"/>
      <c r="H86" s="444"/>
      <c r="I86" s="447"/>
      <c r="J86" s="441"/>
      <c r="K86" s="441"/>
      <c r="L86" s="441"/>
      <c r="M86" s="441"/>
      <c r="N86" s="376">
        <v>45199</v>
      </c>
      <c r="O86" s="438"/>
      <c r="P86" s="369">
        <v>6300</v>
      </c>
      <c r="Q86" s="370">
        <v>45205</v>
      </c>
      <c r="R86" s="371"/>
      <c r="S86" s="369"/>
      <c r="T86" s="369"/>
      <c r="U86" s="444"/>
      <c r="V86" s="453"/>
      <c r="W86" s="456"/>
      <c r="X86" s="328">
        <v>29</v>
      </c>
    </row>
    <row r="87" spans="1:24" s="328" customFormat="1" x14ac:dyDescent="0.3">
      <c r="A87" s="450"/>
      <c r="B87" s="441"/>
      <c r="C87" s="441"/>
      <c r="D87" s="441"/>
      <c r="E87" s="462"/>
      <c r="F87" s="438"/>
      <c r="G87" s="441"/>
      <c r="H87" s="444"/>
      <c r="I87" s="447"/>
      <c r="J87" s="441"/>
      <c r="K87" s="441"/>
      <c r="L87" s="441"/>
      <c r="M87" s="441"/>
      <c r="N87" s="376">
        <v>45199</v>
      </c>
      <c r="O87" s="438"/>
      <c r="P87" s="369">
        <v>7080</v>
      </c>
      <c r="Q87" s="370">
        <v>45205</v>
      </c>
      <c r="R87" s="371"/>
      <c r="S87" s="369"/>
      <c r="T87" s="369"/>
      <c r="U87" s="444"/>
      <c r="V87" s="453"/>
      <c r="W87" s="456"/>
      <c r="X87" s="328">
        <v>29</v>
      </c>
    </row>
    <row r="88" spans="1:24" s="353" customFormat="1" x14ac:dyDescent="0.3">
      <c r="A88" s="450"/>
      <c r="B88" s="441"/>
      <c r="C88" s="441"/>
      <c r="D88" s="441"/>
      <c r="E88" s="462"/>
      <c r="F88" s="438"/>
      <c r="G88" s="441"/>
      <c r="H88" s="444"/>
      <c r="I88" s="447"/>
      <c r="J88" s="441"/>
      <c r="K88" s="441"/>
      <c r="L88" s="441"/>
      <c r="M88" s="441"/>
      <c r="N88" s="376">
        <v>45230</v>
      </c>
      <c r="O88" s="438"/>
      <c r="P88" s="369">
        <v>4920</v>
      </c>
      <c r="Q88" s="370">
        <v>45239</v>
      </c>
      <c r="R88" s="371"/>
      <c r="S88" s="369"/>
      <c r="T88" s="369"/>
      <c r="U88" s="444"/>
      <c r="V88" s="453"/>
      <c r="W88" s="456"/>
      <c r="X88" s="353">
        <v>29</v>
      </c>
    </row>
    <row r="89" spans="1:24" s="353" customFormat="1" x14ac:dyDescent="0.3">
      <c r="A89" s="450"/>
      <c r="B89" s="441"/>
      <c r="C89" s="441"/>
      <c r="D89" s="441"/>
      <c r="E89" s="462"/>
      <c r="F89" s="438"/>
      <c r="G89" s="441"/>
      <c r="H89" s="444"/>
      <c r="I89" s="447"/>
      <c r="J89" s="441"/>
      <c r="K89" s="441"/>
      <c r="L89" s="441"/>
      <c r="M89" s="441"/>
      <c r="N89" s="376">
        <v>45230</v>
      </c>
      <c r="O89" s="438"/>
      <c r="P89" s="369">
        <v>5740</v>
      </c>
      <c r="Q89" s="370">
        <v>45239</v>
      </c>
      <c r="R89" s="371"/>
      <c r="S89" s="369"/>
      <c r="T89" s="369"/>
      <c r="U89" s="444"/>
      <c r="V89" s="453"/>
      <c r="W89" s="456"/>
      <c r="X89" s="353">
        <v>29</v>
      </c>
    </row>
    <row r="90" spans="1:24" s="353" customFormat="1" x14ac:dyDescent="0.3">
      <c r="A90" s="451"/>
      <c r="B90" s="442"/>
      <c r="C90" s="442"/>
      <c r="D90" s="442"/>
      <c r="E90" s="463"/>
      <c r="F90" s="439"/>
      <c r="G90" s="442"/>
      <c r="H90" s="445"/>
      <c r="I90" s="448"/>
      <c r="J90" s="442"/>
      <c r="K90" s="442"/>
      <c r="L90" s="442"/>
      <c r="M90" s="442"/>
      <c r="N90" s="377">
        <v>45230</v>
      </c>
      <c r="O90" s="439"/>
      <c r="P90" s="372">
        <v>6720</v>
      </c>
      <c r="Q90" s="373">
        <v>45239</v>
      </c>
      <c r="R90" s="374"/>
      <c r="S90" s="372"/>
      <c r="T90" s="372"/>
      <c r="U90" s="445"/>
      <c r="V90" s="454"/>
      <c r="W90" s="457"/>
      <c r="X90" s="353">
        <v>29</v>
      </c>
    </row>
    <row r="91" spans="1:24" s="107" customFormat="1" ht="144" x14ac:dyDescent="0.3">
      <c r="A91" s="124">
        <v>11</v>
      </c>
      <c r="B91" s="125" t="s">
        <v>56</v>
      </c>
      <c r="C91" s="125" t="s">
        <v>146</v>
      </c>
      <c r="D91" s="125" t="s">
        <v>147</v>
      </c>
      <c r="E91" s="149">
        <v>17371</v>
      </c>
      <c r="F91" s="135">
        <v>44959</v>
      </c>
      <c r="G91" s="125" t="s">
        <v>215</v>
      </c>
      <c r="H91" s="127">
        <v>2800</v>
      </c>
      <c r="I91" s="128">
        <f>IF(X91 = 30, H91 + SUM(S91:S91) - SUM(T91:T91) - SUM(P91:P91) - V91,0)</f>
        <v>0</v>
      </c>
      <c r="J91" s="125" t="s">
        <v>216</v>
      </c>
      <c r="K91" s="125" t="s">
        <v>217</v>
      </c>
      <c r="L91" s="125" t="s">
        <v>146</v>
      </c>
      <c r="M91" s="125"/>
      <c r="N91" s="135">
        <v>44970</v>
      </c>
      <c r="O91" s="135" t="s">
        <v>181</v>
      </c>
      <c r="P91" s="127">
        <v>2800</v>
      </c>
      <c r="Q91" s="126">
        <v>44971</v>
      </c>
      <c r="R91" s="125"/>
      <c r="S91" s="127"/>
      <c r="T91" s="127"/>
      <c r="U91" s="127"/>
      <c r="V91" s="148"/>
      <c r="W91" s="133"/>
      <c r="X91" s="107">
        <v>30</v>
      </c>
    </row>
    <row r="92" spans="1:24" s="107" customFormat="1" ht="144" x14ac:dyDescent="0.3">
      <c r="A92" s="124">
        <v>12</v>
      </c>
      <c r="B92" s="125" t="s">
        <v>56</v>
      </c>
      <c r="C92" s="125" t="s">
        <v>146</v>
      </c>
      <c r="D92" s="125" t="s">
        <v>147</v>
      </c>
      <c r="E92" s="149">
        <v>45026</v>
      </c>
      <c r="F92" s="135">
        <v>44959</v>
      </c>
      <c r="G92" s="125" t="s">
        <v>218</v>
      </c>
      <c r="H92" s="127">
        <v>9000</v>
      </c>
      <c r="I92" s="128">
        <f>IF(X92 = 31, H92 + SUM(S92:S92) - SUM(T92:T92) - SUM(P92:P92) - V92,0)</f>
        <v>0</v>
      </c>
      <c r="J92" s="125" t="s">
        <v>219</v>
      </c>
      <c r="K92" s="125" t="s">
        <v>220</v>
      </c>
      <c r="L92" s="125" t="s">
        <v>146</v>
      </c>
      <c r="M92" s="125"/>
      <c r="N92" s="135">
        <v>44978</v>
      </c>
      <c r="O92" s="135" t="s">
        <v>181</v>
      </c>
      <c r="P92" s="127">
        <v>9000</v>
      </c>
      <c r="Q92" s="126">
        <v>44978</v>
      </c>
      <c r="R92" s="125"/>
      <c r="S92" s="127"/>
      <c r="T92" s="127"/>
      <c r="U92" s="127"/>
      <c r="V92" s="148"/>
      <c r="W92" s="133"/>
      <c r="X92" s="107">
        <v>31</v>
      </c>
    </row>
    <row r="93" spans="1:24" s="107" customFormat="1" ht="144" x14ac:dyDescent="0.3">
      <c r="A93" s="124">
        <v>13</v>
      </c>
      <c r="B93" s="125" t="s">
        <v>56</v>
      </c>
      <c r="C93" s="125" t="s">
        <v>146</v>
      </c>
      <c r="D93" s="125" t="s">
        <v>147</v>
      </c>
      <c r="E93" s="149">
        <v>40</v>
      </c>
      <c r="F93" s="135">
        <v>44972</v>
      </c>
      <c r="G93" s="125" t="s">
        <v>223</v>
      </c>
      <c r="H93" s="127">
        <v>6900</v>
      </c>
      <c r="I93" s="128">
        <f>IF(X93 = 32, H93 + SUM(S93:S93) - SUM(T93:T93) - SUM(P93:P93) - V93,0)</f>
        <v>0</v>
      </c>
      <c r="J93" s="125" t="s">
        <v>222</v>
      </c>
      <c r="K93" s="125" t="s">
        <v>221</v>
      </c>
      <c r="L93" s="125" t="s">
        <v>146</v>
      </c>
      <c r="M93" s="125"/>
      <c r="N93" s="135">
        <v>44979</v>
      </c>
      <c r="O93" s="135" t="s">
        <v>181</v>
      </c>
      <c r="P93" s="127">
        <v>6900</v>
      </c>
      <c r="Q93" s="126">
        <v>44979</v>
      </c>
      <c r="R93" s="125"/>
      <c r="S93" s="127"/>
      <c r="T93" s="127"/>
      <c r="U93" s="127"/>
      <c r="V93" s="148"/>
      <c r="W93" s="133"/>
      <c r="X93" s="107">
        <v>32</v>
      </c>
    </row>
    <row r="94" spans="1:24" s="107" customFormat="1" ht="144" x14ac:dyDescent="0.3">
      <c r="A94" s="151">
        <v>14</v>
      </c>
      <c r="B94" s="152" t="s">
        <v>56</v>
      </c>
      <c r="C94" s="152" t="s">
        <v>146</v>
      </c>
      <c r="D94" s="152" t="s">
        <v>147</v>
      </c>
      <c r="E94" s="161" t="s">
        <v>230</v>
      </c>
      <c r="F94" s="162">
        <v>44951</v>
      </c>
      <c r="G94" s="152" t="s">
        <v>231</v>
      </c>
      <c r="H94" s="154">
        <v>10000</v>
      </c>
      <c r="I94" s="155">
        <f>IF(X94 = 33, H94 + SUM(S94:S94) - SUM(T94:T94) - SUM(P94:P94) - V94,0)</f>
        <v>0</v>
      </c>
      <c r="J94" s="152" t="s">
        <v>232</v>
      </c>
      <c r="K94" s="152" t="s">
        <v>233</v>
      </c>
      <c r="L94" s="152" t="s">
        <v>146</v>
      </c>
      <c r="M94" s="152"/>
      <c r="N94" s="162"/>
      <c r="O94" s="162" t="s">
        <v>181</v>
      </c>
      <c r="P94" s="154">
        <v>10000</v>
      </c>
      <c r="Q94" s="153">
        <v>45002</v>
      </c>
      <c r="R94" s="152"/>
      <c r="S94" s="154"/>
      <c r="T94" s="154"/>
      <c r="U94" s="154"/>
      <c r="V94" s="156"/>
      <c r="W94" s="157"/>
      <c r="X94" s="107">
        <v>33</v>
      </c>
    </row>
    <row r="95" spans="1:24" s="107" customFormat="1" ht="144" x14ac:dyDescent="0.3">
      <c r="A95" s="151">
        <v>15</v>
      </c>
      <c r="B95" s="152" t="s">
        <v>56</v>
      </c>
      <c r="C95" s="152" t="s">
        <v>146</v>
      </c>
      <c r="D95" s="152" t="s">
        <v>147</v>
      </c>
      <c r="E95" s="161">
        <v>49</v>
      </c>
      <c r="F95" s="162">
        <v>44994</v>
      </c>
      <c r="G95" s="152" t="s">
        <v>238</v>
      </c>
      <c r="H95" s="154">
        <v>9200</v>
      </c>
      <c r="I95" s="155">
        <f>IF(X95 = 34, H95 + SUM(S95:S95) - SUM(T95:T95) - SUM(P95:P95) - V95,0)</f>
        <v>0</v>
      </c>
      <c r="J95" s="125" t="s">
        <v>222</v>
      </c>
      <c r="K95" s="125" t="s">
        <v>221</v>
      </c>
      <c r="L95" s="152" t="s">
        <v>146</v>
      </c>
      <c r="M95" s="152"/>
      <c r="N95" s="162"/>
      <c r="O95" s="162" t="s">
        <v>181</v>
      </c>
      <c r="P95" s="154">
        <v>9200</v>
      </c>
      <c r="Q95" s="153">
        <v>45002</v>
      </c>
      <c r="R95" s="152"/>
      <c r="S95" s="154"/>
      <c r="T95" s="154"/>
      <c r="U95" s="154"/>
      <c r="V95" s="156"/>
      <c r="W95" s="157"/>
      <c r="X95" s="107">
        <v>34</v>
      </c>
    </row>
    <row r="96" spans="1:24" s="107" customFormat="1" ht="75" customHeight="1" x14ac:dyDescent="0.3">
      <c r="A96" s="549">
        <v>16</v>
      </c>
      <c r="B96" s="555" t="s">
        <v>56</v>
      </c>
      <c r="C96" s="555" t="s">
        <v>146</v>
      </c>
      <c r="D96" s="555" t="s">
        <v>147</v>
      </c>
      <c r="E96" s="561" t="s">
        <v>239</v>
      </c>
      <c r="F96" s="551">
        <v>45000</v>
      </c>
      <c r="G96" s="555" t="s">
        <v>240</v>
      </c>
      <c r="H96" s="553">
        <v>1400</v>
      </c>
      <c r="I96" s="563">
        <f>IF(X96 = 35, H96 + SUM(S96:S97) - SUM(T96:T97) - SUM(P96:P97) - V96,0)</f>
        <v>0</v>
      </c>
      <c r="J96" s="555" t="s">
        <v>241</v>
      </c>
      <c r="K96" s="555" t="s">
        <v>242</v>
      </c>
      <c r="L96" s="555" t="s">
        <v>146</v>
      </c>
      <c r="M96" s="555"/>
      <c r="N96" s="197"/>
      <c r="O96" s="551" t="s">
        <v>243</v>
      </c>
      <c r="P96" s="188">
        <v>420</v>
      </c>
      <c r="Q96" s="189">
        <v>45006</v>
      </c>
      <c r="R96" s="190"/>
      <c r="S96" s="188"/>
      <c r="T96" s="188"/>
      <c r="U96" s="553"/>
      <c r="V96" s="557"/>
      <c r="W96" s="559"/>
      <c r="X96" s="107">
        <v>35</v>
      </c>
    </row>
    <row r="97" spans="1:24" s="176" customFormat="1" x14ac:dyDescent="0.3">
      <c r="A97" s="550"/>
      <c r="B97" s="556"/>
      <c r="C97" s="556"/>
      <c r="D97" s="556"/>
      <c r="E97" s="562"/>
      <c r="F97" s="552"/>
      <c r="G97" s="556"/>
      <c r="H97" s="554"/>
      <c r="I97" s="564"/>
      <c r="J97" s="556"/>
      <c r="K97" s="556"/>
      <c r="L97" s="556"/>
      <c r="M97" s="556"/>
      <c r="N97" s="199"/>
      <c r="O97" s="552"/>
      <c r="P97" s="194">
        <v>980</v>
      </c>
      <c r="Q97" s="195">
        <v>45021</v>
      </c>
      <c r="R97" s="196"/>
      <c r="S97" s="194"/>
      <c r="T97" s="194"/>
      <c r="U97" s="554"/>
      <c r="V97" s="558"/>
      <c r="W97" s="560"/>
      <c r="X97" s="176">
        <v>35</v>
      </c>
    </row>
    <row r="98" spans="1:24" s="107" customFormat="1" ht="168.75" customHeight="1" x14ac:dyDescent="0.3">
      <c r="A98" s="597">
        <v>17</v>
      </c>
      <c r="B98" s="494" t="s">
        <v>56</v>
      </c>
      <c r="C98" s="494" t="s">
        <v>146</v>
      </c>
      <c r="D98" s="494" t="s">
        <v>147</v>
      </c>
      <c r="E98" s="569">
        <v>13</v>
      </c>
      <c r="F98" s="571">
        <v>45001</v>
      </c>
      <c r="G98" s="494" t="s">
        <v>244</v>
      </c>
      <c r="H98" s="496">
        <v>15363</v>
      </c>
      <c r="I98" s="498">
        <f>IF(X98 = 36, H98 + SUM(S98:S99) - SUM(T98:T99) - SUM(P98:P99) - V98,0)</f>
        <v>0</v>
      </c>
      <c r="J98" s="494" t="s">
        <v>245</v>
      </c>
      <c r="K98" s="494" t="s">
        <v>246</v>
      </c>
      <c r="L98" s="494" t="s">
        <v>146</v>
      </c>
      <c r="M98" s="494"/>
      <c r="N98" s="163">
        <v>45005</v>
      </c>
      <c r="O98" s="571" t="s">
        <v>235</v>
      </c>
      <c r="P98" s="164">
        <v>12675</v>
      </c>
      <c r="Q98" s="165">
        <v>45006</v>
      </c>
      <c r="R98" s="166"/>
      <c r="S98" s="164"/>
      <c r="T98" s="164"/>
      <c r="U98" s="496"/>
      <c r="V98" s="565"/>
      <c r="W98" s="567"/>
      <c r="X98" s="107">
        <v>36</v>
      </c>
    </row>
    <row r="99" spans="1:24" s="150" customFormat="1" x14ac:dyDescent="0.3">
      <c r="A99" s="598"/>
      <c r="B99" s="495"/>
      <c r="C99" s="495"/>
      <c r="D99" s="495"/>
      <c r="E99" s="570"/>
      <c r="F99" s="572"/>
      <c r="G99" s="495"/>
      <c r="H99" s="497"/>
      <c r="I99" s="499"/>
      <c r="J99" s="495"/>
      <c r="K99" s="495"/>
      <c r="L99" s="495"/>
      <c r="M99" s="495"/>
      <c r="N99" s="167">
        <v>45005</v>
      </c>
      <c r="O99" s="572"/>
      <c r="P99" s="168">
        <v>2688</v>
      </c>
      <c r="Q99" s="169">
        <v>45006</v>
      </c>
      <c r="R99" s="170"/>
      <c r="S99" s="168"/>
      <c r="T99" s="168"/>
      <c r="U99" s="497"/>
      <c r="V99" s="566"/>
      <c r="W99" s="568"/>
      <c r="X99" s="150">
        <v>36</v>
      </c>
    </row>
    <row r="100" spans="1:24" s="107" customFormat="1" ht="168.75" customHeight="1" x14ac:dyDescent="0.3">
      <c r="A100" s="485">
        <v>18</v>
      </c>
      <c r="B100" s="467" t="s">
        <v>56</v>
      </c>
      <c r="C100" s="467" t="s">
        <v>146</v>
      </c>
      <c r="D100" s="467" t="s">
        <v>147</v>
      </c>
      <c r="E100" s="470" t="s">
        <v>255</v>
      </c>
      <c r="F100" s="473">
        <v>44953</v>
      </c>
      <c r="G100" s="467" t="s">
        <v>256</v>
      </c>
      <c r="H100" s="476">
        <v>12096</v>
      </c>
      <c r="I100" s="479">
        <f>IF(X100 = 38, H100 + SUM(S100:S103) - SUM(T100:T103) - SUM(P100:P103) - V100,0)</f>
        <v>1512</v>
      </c>
      <c r="J100" s="467" t="s">
        <v>257</v>
      </c>
      <c r="K100" s="467" t="s">
        <v>258</v>
      </c>
      <c r="L100" s="467" t="s">
        <v>146</v>
      </c>
      <c r="M100" s="467"/>
      <c r="N100" s="348"/>
      <c r="O100" s="473" t="s">
        <v>181</v>
      </c>
      <c r="P100" s="339">
        <v>6048</v>
      </c>
      <c r="Q100" s="340">
        <v>45035</v>
      </c>
      <c r="R100" s="341"/>
      <c r="S100" s="339"/>
      <c r="T100" s="339"/>
      <c r="U100" s="476"/>
      <c r="V100" s="488"/>
      <c r="W100" s="491"/>
      <c r="X100" s="107">
        <v>38</v>
      </c>
    </row>
    <row r="101" spans="1:24" s="200" customFormat="1" x14ac:dyDescent="0.3">
      <c r="A101" s="486"/>
      <c r="B101" s="468"/>
      <c r="C101" s="468"/>
      <c r="D101" s="468"/>
      <c r="E101" s="471"/>
      <c r="F101" s="474"/>
      <c r="G101" s="468"/>
      <c r="H101" s="477"/>
      <c r="I101" s="480"/>
      <c r="J101" s="468"/>
      <c r="K101" s="468"/>
      <c r="L101" s="468"/>
      <c r="M101" s="468"/>
      <c r="N101" s="349"/>
      <c r="O101" s="474"/>
      <c r="P101" s="342">
        <v>1512</v>
      </c>
      <c r="Q101" s="343">
        <v>45051</v>
      </c>
      <c r="R101" s="344"/>
      <c r="S101" s="342"/>
      <c r="T101" s="342"/>
      <c r="U101" s="477"/>
      <c r="V101" s="489"/>
      <c r="W101" s="492"/>
      <c r="X101" s="200">
        <v>38</v>
      </c>
    </row>
    <row r="102" spans="1:24" s="282" customFormat="1" x14ac:dyDescent="0.3">
      <c r="A102" s="486"/>
      <c r="B102" s="468"/>
      <c r="C102" s="468"/>
      <c r="D102" s="468"/>
      <c r="E102" s="471"/>
      <c r="F102" s="474"/>
      <c r="G102" s="468"/>
      <c r="H102" s="477"/>
      <c r="I102" s="480"/>
      <c r="J102" s="468"/>
      <c r="K102" s="468"/>
      <c r="L102" s="468"/>
      <c r="M102" s="468"/>
      <c r="N102" s="349"/>
      <c r="O102" s="474"/>
      <c r="P102" s="342">
        <v>1512</v>
      </c>
      <c r="Q102" s="343">
        <v>45133</v>
      </c>
      <c r="R102" s="344"/>
      <c r="S102" s="342"/>
      <c r="T102" s="342"/>
      <c r="U102" s="477"/>
      <c r="V102" s="489"/>
      <c r="W102" s="492"/>
      <c r="X102" s="282">
        <v>38</v>
      </c>
    </row>
    <row r="103" spans="1:24" s="328" customFormat="1" x14ac:dyDescent="0.3">
      <c r="A103" s="487"/>
      <c r="B103" s="469"/>
      <c r="C103" s="469"/>
      <c r="D103" s="469"/>
      <c r="E103" s="472"/>
      <c r="F103" s="475"/>
      <c r="G103" s="469"/>
      <c r="H103" s="478"/>
      <c r="I103" s="481"/>
      <c r="J103" s="469"/>
      <c r="K103" s="469"/>
      <c r="L103" s="469"/>
      <c r="M103" s="469"/>
      <c r="N103" s="350"/>
      <c r="O103" s="475"/>
      <c r="P103" s="345">
        <v>1512</v>
      </c>
      <c r="Q103" s="346">
        <v>45205</v>
      </c>
      <c r="R103" s="347"/>
      <c r="S103" s="345"/>
      <c r="T103" s="345"/>
      <c r="U103" s="478"/>
      <c r="V103" s="490"/>
      <c r="W103" s="493"/>
      <c r="X103" s="328">
        <v>38</v>
      </c>
    </row>
    <row r="104" spans="1:24" s="107" customFormat="1" ht="144" x14ac:dyDescent="0.3">
      <c r="A104" s="177">
        <v>19</v>
      </c>
      <c r="B104" s="178" t="s">
        <v>56</v>
      </c>
      <c r="C104" s="178" t="s">
        <v>146</v>
      </c>
      <c r="D104" s="178" t="s">
        <v>147</v>
      </c>
      <c r="E104" s="179">
        <v>5</v>
      </c>
      <c r="F104" s="184">
        <v>45015</v>
      </c>
      <c r="G104" s="178" t="s">
        <v>196</v>
      </c>
      <c r="H104" s="180">
        <v>25212</v>
      </c>
      <c r="I104" s="181">
        <f>IF(X104 = 39, H104 + SUM(S104:S104) - SUM(T104:T104) - SUM(P104:P104) - V104,0)</f>
        <v>0</v>
      </c>
      <c r="J104" s="178" t="s">
        <v>260</v>
      </c>
      <c r="K104" s="178" t="s">
        <v>259</v>
      </c>
      <c r="L104" s="178" t="s">
        <v>146</v>
      </c>
      <c r="M104" s="178"/>
      <c r="N104" s="184"/>
      <c r="O104" s="184" t="s">
        <v>181</v>
      </c>
      <c r="P104" s="180">
        <v>25212</v>
      </c>
      <c r="Q104" s="182">
        <v>45044</v>
      </c>
      <c r="R104" s="178"/>
      <c r="S104" s="180"/>
      <c r="T104" s="180"/>
      <c r="U104" s="180"/>
      <c r="V104" s="183"/>
      <c r="W104" s="175"/>
      <c r="X104" s="107">
        <v>39</v>
      </c>
    </row>
    <row r="105" spans="1:24" s="107" customFormat="1" ht="144" x14ac:dyDescent="0.3">
      <c r="A105" s="177">
        <v>20</v>
      </c>
      <c r="B105" s="178" t="s">
        <v>56</v>
      </c>
      <c r="C105" s="178" t="s">
        <v>146</v>
      </c>
      <c r="D105" s="178" t="s">
        <v>147</v>
      </c>
      <c r="E105" s="179" t="s">
        <v>261</v>
      </c>
      <c r="F105" s="184">
        <v>45034</v>
      </c>
      <c r="G105" s="178" t="s">
        <v>262</v>
      </c>
      <c r="H105" s="180">
        <v>7600</v>
      </c>
      <c r="I105" s="181">
        <f>IF(X105 = 40, H105 + SUM(S105:S105) - SUM(T105:T105) - SUM(P105:P105) - V105,0)</f>
        <v>0</v>
      </c>
      <c r="J105" s="178" t="s">
        <v>263</v>
      </c>
      <c r="K105" s="178" t="s">
        <v>264</v>
      </c>
      <c r="L105" s="178" t="s">
        <v>146</v>
      </c>
      <c r="M105" s="178"/>
      <c r="N105" s="184"/>
      <c r="O105" s="184" t="s">
        <v>181</v>
      </c>
      <c r="P105" s="180">
        <v>7600</v>
      </c>
      <c r="Q105" s="182">
        <v>45035</v>
      </c>
      <c r="R105" s="178"/>
      <c r="S105" s="180"/>
      <c r="T105" s="180"/>
      <c r="U105" s="180"/>
      <c r="V105" s="183"/>
      <c r="W105" s="175"/>
      <c r="X105" s="107">
        <v>40</v>
      </c>
    </row>
    <row r="106" spans="1:24" s="107" customFormat="1" ht="144" x14ac:dyDescent="0.3">
      <c r="A106" s="177">
        <v>21</v>
      </c>
      <c r="B106" s="178" t="s">
        <v>56</v>
      </c>
      <c r="C106" s="178" t="s">
        <v>146</v>
      </c>
      <c r="D106" s="178" t="s">
        <v>147</v>
      </c>
      <c r="E106" s="179" t="s">
        <v>266</v>
      </c>
      <c r="F106" s="184">
        <v>45016</v>
      </c>
      <c r="G106" s="178" t="s">
        <v>267</v>
      </c>
      <c r="H106" s="180">
        <v>5000</v>
      </c>
      <c r="I106" s="181">
        <f>IF(X106 = 41, H106 + SUM(S106:S106) - SUM(T106:T106) - SUM(P106:P106) - V106,0)</f>
        <v>0</v>
      </c>
      <c r="J106" s="178" t="s">
        <v>268</v>
      </c>
      <c r="K106" s="178" t="s">
        <v>269</v>
      </c>
      <c r="L106" s="178" t="s">
        <v>146</v>
      </c>
      <c r="M106" s="178"/>
      <c r="N106" s="184"/>
      <c r="O106" s="184" t="s">
        <v>181</v>
      </c>
      <c r="P106" s="180">
        <v>5000</v>
      </c>
      <c r="Q106" s="182">
        <v>45023</v>
      </c>
      <c r="R106" s="178"/>
      <c r="S106" s="180"/>
      <c r="T106" s="180"/>
      <c r="U106" s="180"/>
      <c r="V106" s="183"/>
      <c r="W106" s="175"/>
      <c r="X106" s="107">
        <v>41</v>
      </c>
    </row>
    <row r="107" spans="1:24" s="107" customFormat="1" ht="144" x14ac:dyDescent="0.3">
      <c r="A107" s="177">
        <v>22</v>
      </c>
      <c r="B107" s="178" t="s">
        <v>56</v>
      </c>
      <c r="C107" s="178" t="s">
        <v>146</v>
      </c>
      <c r="D107" s="178" t="s">
        <v>147</v>
      </c>
      <c r="E107" s="179" t="s">
        <v>273</v>
      </c>
      <c r="F107" s="184">
        <v>45020</v>
      </c>
      <c r="G107" s="178" t="s">
        <v>272</v>
      </c>
      <c r="H107" s="180">
        <v>3000</v>
      </c>
      <c r="I107" s="181">
        <f>IF(X107 = 42, H107 + SUM(S107:S107) - SUM(T107:T107) - SUM(P107:P107) - V107,0)</f>
        <v>0</v>
      </c>
      <c r="J107" s="178" t="s">
        <v>271</v>
      </c>
      <c r="K107" s="178" t="s">
        <v>270</v>
      </c>
      <c r="L107" s="178" t="s">
        <v>146</v>
      </c>
      <c r="M107" s="178"/>
      <c r="N107" s="184"/>
      <c r="O107" s="184" t="s">
        <v>235</v>
      </c>
      <c r="P107" s="180">
        <v>3000</v>
      </c>
      <c r="Q107" s="182">
        <v>45023</v>
      </c>
      <c r="R107" s="178"/>
      <c r="S107" s="180"/>
      <c r="T107" s="180"/>
      <c r="U107" s="180"/>
      <c r="V107" s="183"/>
      <c r="W107" s="175"/>
      <c r="X107" s="107">
        <v>42</v>
      </c>
    </row>
    <row r="108" spans="1:24" s="107" customFormat="1" ht="144" x14ac:dyDescent="0.3">
      <c r="A108" s="177">
        <v>23</v>
      </c>
      <c r="B108" s="178" t="s">
        <v>56</v>
      </c>
      <c r="C108" s="178" t="s">
        <v>146</v>
      </c>
      <c r="D108" s="178" t="s">
        <v>147</v>
      </c>
      <c r="E108" s="179" t="s">
        <v>284</v>
      </c>
      <c r="F108" s="184">
        <v>45026</v>
      </c>
      <c r="G108" s="178" t="s">
        <v>287</v>
      </c>
      <c r="H108" s="180">
        <v>14422.5</v>
      </c>
      <c r="I108" s="181">
        <f>IF(X108 = 43, H108 + SUM(S108:S108) - SUM(T108:T108) - SUM(P108:P108) - V108,0)</f>
        <v>0</v>
      </c>
      <c r="J108" s="178" t="s">
        <v>286</v>
      </c>
      <c r="K108" s="178" t="s">
        <v>285</v>
      </c>
      <c r="L108" s="178" t="s">
        <v>146</v>
      </c>
      <c r="M108" s="178"/>
      <c r="N108" s="184">
        <v>45062</v>
      </c>
      <c r="O108" s="184" t="s">
        <v>181</v>
      </c>
      <c r="P108" s="180">
        <v>14422.5</v>
      </c>
      <c r="Q108" s="182">
        <v>45064</v>
      </c>
      <c r="R108" s="178"/>
      <c r="S108" s="180"/>
      <c r="T108" s="180"/>
      <c r="U108" s="180"/>
      <c r="V108" s="183"/>
      <c r="W108" s="175"/>
      <c r="X108" s="107">
        <v>43</v>
      </c>
    </row>
    <row r="109" spans="1:24" s="107" customFormat="1" ht="144" x14ac:dyDescent="0.3">
      <c r="A109" s="177">
        <v>24</v>
      </c>
      <c r="B109" s="178" t="s">
        <v>56</v>
      </c>
      <c r="C109" s="178" t="s">
        <v>146</v>
      </c>
      <c r="D109" s="178" t="s">
        <v>147</v>
      </c>
      <c r="E109" s="179">
        <v>19</v>
      </c>
      <c r="F109" s="184">
        <v>45026</v>
      </c>
      <c r="G109" s="178" t="s">
        <v>59</v>
      </c>
      <c r="H109" s="180">
        <v>4485</v>
      </c>
      <c r="I109" s="181">
        <f>IF(X109 = 44, H109 + SUM(S109:S109) - SUM(T109:T109) - SUM(P109:P109) - V109,0)</f>
        <v>0</v>
      </c>
      <c r="J109" s="178" t="s">
        <v>289</v>
      </c>
      <c r="K109" s="178" t="s">
        <v>288</v>
      </c>
      <c r="L109" s="178" t="s">
        <v>146</v>
      </c>
      <c r="M109" s="178"/>
      <c r="N109" s="184"/>
      <c r="O109" s="184" t="s">
        <v>235</v>
      </c>
      <c r="P109" s="180">
        <v>4485</v>
      </c>
      <c r="Q109" s="182">
        <v>45030</v>
      </c>
      <c r="R109" s="178"/>
      <c r="S109" s="180"/>
      <c r="T109" s="180"/>
      <c r="U109" s="180"/>
      <c r="V109" s="183"/>
      <c r="W109" s="175"/>
      <c r="X109" s="107">
        <v>44</v>
      </c>
    </row>
    <row r="110" spans="1:24" s="107" customFormat="1" ht="144" x14ac:dyDescent="0.3">
      <c r="A110" s="177">
        <v>25</v>
      </c>
      <c r="B110" s="178" t="s">
        <v>56</v>
      </c>
      <c r="C110" s="178" t="s">
        <v>146</v>
      </c>
      <c r="D110" s="178" t="s">
        <v>147</v>
      </c>
      <c r="E110" s="179">
        <v>10</v>
      </c>
      <c r="F110" s="184">
        <v>45043</v>
      </c>
      <c r="G110" s="178" t="s">
        <v>295</v>
      </c>
      <c r="H110" s="180">
        <v>4590</v>
      </c>
      <c r="I110" s="181">
        <f>IF(X110 = 45, H110 + SUM(S110:S110) - SUM(T110:T110) - SUM(P110:P110) - V110,0)</f>
        <v>0</v>
      </c>
      <c r="J110" s="178" t="s">
        <v>296</v>
      </c>
      <c r="K110" s="178" t="s">
        <v>297</v>
      </c>
      <c r="L110" s="178" t="s">
        <v>146</v>
      </c>
      <c r="M110" s="178"/>
      <c r="N110" s="184"/>
      <c r="O110" s="184" t="s">
        <v>181</v>
      </c>
      <c r="P110" s="180">
        <v>4590</v>
      </c>
      <c r="Q110" s="182">
        <v>45135</v>
      </c>
      <c r="R110" s="178"/>
      <c r="S110" s="180"/>
      <c r="T110" s="180"/>
      <c r="U110" s="180"/>
      <c r="V110" s="183"/>
      <c r="W110" s="175"/>
      <c r="X110" s="107">
        <v>45</v>
      </c>
    </row>
    <row r="111" spans="1:24" s="107" customFormat="1" ht="144" x14ac:dyDescent="0.3">
      <c r="A111" s="202">
        <v>26</v>
      </c>
      <c r="B111" s="203" t="s">
        <v>56</v>
      </c>
      <c r="C111" s="203" t="s">
        <v>146</v>
      </c>
      <c r="D111" s="203" t="s">
        <v>147</v>
      </c>
      <c r="E111" s="204">
        <v>24</v>
      </c>
      <c r="F111" s="225">
        <v>45050</v>
      </c>
      <c r="G111" s="203" t="s">
        <v>302</v>
      </c>
      <c r="H111" s="205">
        <v>3750</v>
      </c>
      <c r="I111" s="206">
        <f>IF(X111 = 46, H111 + SUM(S111:S111) - SUM(T111:T111) - SUM(P111:P111) - V111,0)</f>
        <v>0</v>
      </c>
      <c r="J111" s="203" t="s">
        <v>303</v>
      </c>
      <c r="K111" s="203" t="s">
        <v>304</v>
      </c>
      <c r="L111" s="203" t="s">
        <v>146</v>
      </c>
      <c r="M111" s="203"/>
      <c r="N111" s="225"/>
      <c r="O111" s="225" t="s">
        <v>181</v>
      </c>
      <c r="P111" s="205">
        <v>3750</v>
      </c>
      <c r="Q111" s="208">
        <v>45061</v>
      </c>
      <c r="R111" s="203"/>
      <c r="S111" s="205"/>
      <c r="T111" s="205"/>
      <c r="U111" s="205"/>
      <c r="V111" s="207"/>
      <c r="W111" s="201"/>
      <c r="X111" s="107">
        <v>46</v>
      </c>
    </row>
    <row r="112" spans="1:24" s="107" customFormat="1" ht="36" x14ac:dyDescent="0.3">
      <c r="A112" s="202">
        <v>27</v>
      </c>
      <c r="B112" s="203" t="s">
        <v>56</v>
      </c>
      <c r="C112" s="203" t="s">
        <v>146</v>
      </c>
      <c r="D112" s="203" t="s">
        <v>147</v>
      </c>
      <c r="E112" s="204" t="s">
        <v>307</v>
      </c>
      <c r="F112" s="225">
        <v>45061</v>
      </c>
      <c r="G112" s="203" t="s">
        <v>308</v>
      </c>
      <c r="H112" s="205">
        <v>7348.98</v>
      </c>
      <c r="I112" s="206">
        <f>IF(X112 = 47, H112 + SUM(S112:S112) - SUM(T112:T112) - SUM(P112:P112) - V112,0)</f>
        <v>0</v>
      </c>
      <c r="J112" s="203" t="s">
        <v>309</v>
      </c>
      <c r="K112" s="203" t="s">
        <v>310</v>
      </c>
      <c r="L112" s="203" t="s">
        <v>146</v>
      </c>
      <c r="M112" s="203"/>
      <c r="N112" s="225"/>
      <c r="O112" s="225" t="s">
        <v>311</v>
      </c>
      <c r="P112" s="205">
        <v>7348.98</v>
      </c>
      <c r="Q112" s="208">
        <v>45070</v>
      </c>
      <c r="R112" s="203"/>
      <c r="S112" s="205"/>
      <c r="T112" s="205"/>
      <c r="U112" s="205"/>
      <c r="V112" s="207"/>
      <c r="W112" s="201"/>
      <c r="X112" s="107">
        <v>47</v>
      </c>
    </row>
    <row r="113" spans="1:24" s="107" customFormat="1" ht="144" x14ac:dyDescent="0.3">
      <c r="A113" s="227">
        <v>28</v>
      </c>
      <c r="B113" s="228" t="s">
        <v>56</v>
      </c>
      <c r="C113" s="228" t="s">
        <v>146</v>
      </c>
      <c r="D113" s="228" t="s">
        <v>147</v>
      </c>
      <c r="E113" s="236" t="s">
        <v>320</v>
      </c>
      <c r="F113" s="235">
        <v>45076</v>
      </c>
      <c r="G113" s="228" t="s">
        <v>321</v>
      </c>
      <c r="H113" s="230">
        <v>2320</v>
      </c>
      <c r="I113" s="231">
        <f>IF(X113 = 49, H113 + SUM(S113:S113) - SUM(T113:T113) - SUM(P113:P113) - V113,0)</f>
        <v>0</v>
      </c>
      <c r="J113" s="228" t="s">
        <v>322</v>
      </c>
      <c r="K113" s="228" t="s">
        <v>323</v>
      </c>
      <c r="L113" s="228" t="s">
        <v>146</v>
      </c>
      <c r="M113" s="228"/>
      <c r="N113" s="235">
        <v>45078</v>
      </c>
      <c r="O113" s="235" t="s">
        <v>235</v>
      </c>
      <c r="P113" s="230">
        <v>2320</v>
      </c>
      <c r="Q113" s="229">
        <v>45090</v>
      </c>
      <c r="R113" s="228"/>
      <c r="S113" s="230"/>
      <c r="T113" s="230"/>
      <c r="U113" s="230"/>
      <c r="V113" s="237"/>
      <c r="W113" s="224"/>
      <c r="X113" s="107">
        <v>49</v>
      </c>
    </row>
    <row r="114" spans="1:24" s="107" customFormat="1" ht="168.75" customHeight="1" x14ac:dyDescent="0.3">
      <c r="A114" s="603">
        <v>29</v>
      </c>
      <c r="B114" s="547" t="s">
        <v>56</v>
      </c>
      <c r="C114" s="547" t="s">
        <v>146</v>
      </c>
      <c r="D114" s="547" t="s">
        <v>147</v>
      </c>
      <c r="E114" s="589" t="s">
        <v>324</v>
      </c>
      <c r="F114" s="591">
        <v>45078</v>
      </c>
      <c r="G114" s="547" t="s">
        <v>321</v>
      </c>
      <c r="H114" s="593">
        <v>33017</v>
      </c>
      <c r="I114" s="595">
        <f>IF(X114 = 50, H114 + SUM(S114:S115) - SUM(T114:T115) - SUM(P114:P115) - V114,0)</f>
        <v>0</v>
      </c>
      <c r="J114" s="547" t="s">
        <v>322</v>
      </c>
      <c r="K114" s="547" t="s">
        <v>323</v>
      </c>
      <c r="L114" s="547" t="s">
        <v>146</v>
      </c>
      <c r="M114" s="547"/>
      <c r="N114" s="254"/>
      <c r="O114" s="591" t="s">
        <v>235</v>
      </c>
      <c r="P114" s="248">
        <v>12817</v>
      </c>
      <c r="Q114" s="249">
        <v>45093</v>
      </c>
      <c r="R114" s="250"/>
      <c r="S114" s="248"/>
      <c r="T114" s="248"/>
      <c r="U114" s="593"/>
      <c r="V114" s="585"/>
      <c r="W114" s="587"/>
      <c r="X114" s="107">
        <v>50</v>
      </c>
    </row>
    <row r="115" spans="1:24" s="240" customFormat="1" x14ac:dyDescent="0.3">
      <c r="A115" s="604"/>
      <c r="B115" s="548"/>
      <c r="C115" s="548"/>
      <c r="D115" s="548"/>
      <c r="E115" s="590"/>
      <c r="F115" s="592"/>
      <c r="G115" s="548"/>
      <c r="H115" s="594"/>
      <c r="I115" s="596"/>
      <c r="J115" s="548"/>
      <c r="K115" s="548"/>
      <c r="L115" s="548"/>
      <c r="M115" s="548"/>
      <c r="N115" s="255"/>
      <c r="O115" s="592"/>
      <c r="P115" s="251">
        <v>20200</v>
      </c>
      <c r="Q115" s="252">
        <v>45093</v>
      </c>
      <c r="R115" s="253"/>
      <c r="S115" s="251"/>
      <c r="T115" s="251"/>
      <c r="U115" s="594"/>
      <c r="V115" s="586"/>
      <c r="W115" s="588"/>
      <c r="X115" s="240">
        <v>50</v>
      </c>
    </row>
    <row r="116" spans="1:24" s="107" customFormat="1" ht="144" x14ac:dyDescent="0.3">
      <c r="A116" s="227">
        <v>30</v>
      </c>
      <c r="B116" s="228" t="s">
        <v>56</v>
      </c>
      <c r="C116" s="228" t="s">
        <v>146</v>
      </c>
      <c r="D116" s="228" t="s">
        <v>147</v>
      </c>
      <c r="E116" s="236" t="s">
        <v>325</v>
      </c>
      <c r="F116" s="235">
        <v>45079</v>
      </c>
      <c r="G116" s="228" t="s">
        <v>326</v>
      </c>
      <c r="H116" s="230">
        <v>2841</v>
      </c>
      <c r="I116" s="231">
        <f>IF(X116 = 51, H116 + SUM(S116:S116) - SUM(T116:T116) - SUM(P116:P116) - V116,0)</f>
        <v>0</v>
      </c>
      <c r="J116" s="228" t="s">
        <v>327</v>
      </c>
      <c r="K116" s="228" t="s">
        <v>328</v>
      </c>
      <c r="L116" s="228" t="s">
        <v>146</v>
      </c>
      <c r="M116" s="228"/>
      <c r="N116" s="235">
        <v>45082</v>
      </c>
      <c r="O116" s="235" t="s">
        <v>235</v>
      </c>
      <c r="P116" s="230">
        <v>2841</v>
      </c>
      <c r="Q116" s="229">
        <v>45090</v>
      </c>
      <c r="R116" s="228"/>
      <c r="S116" s="230"/>
      <c r="T116" s="230"/>
      <c r="U116" s="230"/>
      <c r="V116" s="237"/>
      <c r="W116" s="224"/>
      <c r="X116" s="107">
        <v>51</v>
      </c>
    </row>
    <row r="117" spans="1:24" s="107" customFormat="1" ht="144" x14ac:dyDescent="0.3">
      <c r="A117" s="227">
        <v>31</v>
      </c>
      <c r="B117" s="228" t="s">
        <v>56</v>
      </c>
      <c r="C117" s="228" t="s">
        <v>146</v>
      </c>
      <c r="D117" s="228" t="s">
        <v>147</v>
      </c>
      <c r="E117" s="236" t="s">
        <v>331</v>
      </c>
      <c r="F117" s="238">
        <v>45083</v>
      </c>
      <c r="G117" s="228" t="s">
        <v>321</v>
      </c>
      <c r="H117" s="230">
        <v>1400</v>
      </c>
      <c r="I117" s="231">
        <f>IF(X117 = 52, H117 + SUM(S117:S117) - SUM(T117:T117) - SUM(P117:P117) - V117,0)</f>
        <v>0</v>
      </c>
      <c r="J117" s="228" t="s">
        <v>322</v>
      </c>
      <c r="K117" s="228" t="s">
        <v>323</v>
      </c>
      <c r="L117" s="228" t="s">
        <v>146</v>
      </c>
      <c r="M117" s="228"/>
      <c r="N117" s="238">
        <v>45083</v>
      </c>
      <c r="O117" s="238" t="s">
        <v>235</v>
      </c>
      <c r="P117" s="230">
        <v>1400</v>
      </c>
      <c r="Q117" s="229">
        <v>45093</v>
      </c>
      <c r="R117" s="228"/>
      <c r="S117" s="230"/>
      <c r="T117" s="230"/>
      <c r="U117" s="230"/>
      <c r="V117" s="237"/>
      <c r="W117" s="226"/>
      <c r="X117" s="107">
        <v>52</v>
      </c>
    </row>
    <row r="118" spans="1:24" s="107" customFormat="1" ht="168.75" customHeight="1" x14ac:dyDescent="0.3">
      <c r="A118" s="599">
        <v>32</v>
      </c>
      <c r="B118" s="575" t="s">
        <v>56</v>
      </c>
      <c r="C118" s="575" t="s">
        <v>146</v>
      </c>
      <c r="D118" s="575" t="s">
        <v>332</v>
      </c>
      <c r="E118" s="577">
        <v>6</v>
      </c>
      <c r="F118" s="579">
        <v>45092</v>
      </c>
      <c r="G118" s="575" t="s">
        <v>333</v>
      </c>
      <c r="H118" s="581">
        <v>83411.7</v>
      </c>
      <c r="I118" s="583">
        <f>IF(X118 = 53, H118 + SUM(S118:S119) - SUM(T118:T119) - SUM(P118:P119) - V118,0)</f>
        <v>0</v>
      </c>
      <c r="J118" s="575" t="s">
        <v>281</v>
      </c>
      <c r="K118" s="575" t="s">
        <v>334</v>
      </c>
      <c r="L118" s="575" t="s">
        <v>146</v>
      </c>
      <c r="M118" s="575"/>
      <c r="N118" s="293"/>
      <c r="O118" s="579" t="s">
        <v>235</v>
      </c>
      <c r="P118" s="284">
        <v>66727.5</v>
      </c>
      <c r="Q118" s="285">
        <v>45125</v>
      </c>
      <c r="R118" s="286"/>
      <c r="S118" s="284"/>
      <c r="T118" s="284"/>
      <c r="U118" s="581"/>
      <c r="V118" s="601"/>
      <c r="W118" s="573"/>
      <c r="X118" s="107">
        <v>53</v>
      </c>
    </row>
    <row r="119" spans="1:24" s="282" customFormat="1" x14ac:dyDescent="0.3">
      <c r="A119" s="600"/>
      <c r="B119" s="576"/>
      <c r="C119" s="576"/>
      <c r="D119" s="576"/>
      <c r="E119" s="578"/>
      <c r="F119" s="580"/>
      <c r="G119" s="576"/>
      <c r="H119" s="582"/>
      <c r="I119" s="584"/>
      <c r="J119" s="576"/>
      <c r="K119" s="576"/>
      <c r="L119" s="576"/>
      <c r="M119" s="576"/>
      <c r="N119" s="295"/>
      <c r="O119" s="580"/>
      <c r="P119" s="290">
        <v>16684.2</v>
      </c>
      <c r="Q119" s="291">
        <v>45125</v>
      </c>
      <c r="R119" s="292"/>
      <c r="S119" s="290"/>
      <c r="T119" s="290"/>
      <c r="U119" s="582"/>
      <c r="V119" s="602"/>
      <c r="W119" s="574"/>
      <c r="X119" s="282">
        <v>53</v>
      </c>
    </row>
    <row r="120" spans="1:24" s="107" customFormat="1" ht="144" x14ac:dyDescent="0.3">
      <c r="A120" s="227">
        <v>33</v>
      </c>
      <c r="B120" s="228" t="s">
        <v>56</v>
      </c>
      <c r="C120" s="228" t="s">
        <v>146</v>
      </c>
      <c r="D120" s="228" t="s">
        <v>147</v>
      </c>
      <c r="E120" s="236">
        <v>29</v>
      </c>
      <c r="F120" s="238">
        <v>45092</v>
      </c>
      <c r="G120" s="228" t="s">
        <v>335</v>
      </c>
      <c r="H120" s="230">
        <v>4350</v>
      </c>
      <c r="I120" s="231">
        <f>IF(X120 = 54, H120 + SUM(S120:S120) - SUM(T120:T120) - SUM(P120:P120) - V120,0)</f>
        <v>0</v>
      </c>
      <c r="J120" s="228" t="s">
        <v>289</v>
      </c>
      <c r="K120" s="228" t="s">
        <v>288</v>
      </c>
      <c r="L120" s="228" t="s">
        <v>146</v>
      </c>
      <c r="M120" s="228"/>
      <c r="N120" s="238">
        <v>45092</v>
      </c>
      <c r="O120" s="238" t="s">
        <v>235</v>
      </c>
      <c r="P120" s="230">
        <v>4350</v>
      </c>
      <c r="Q120" s="229">
        <v>45099</v>
      </c>
      <c r="R120" s="228"/>
      <c r="S120" s="230"/>
      <c r="T120" s="230"/>
      <c r="U120" s="230"/>
      <c r="V120" s="237"/>
      <c r="W120" s="226"/>
      <c r="X120" s="107">
        <v>54</v>
      </c>
    </row>
    <row r="121" spans="1:24" s="107" customFormat="1" ht="144" x14ac:dyDescent="0.3">
      <c r="A121" s="227">
        <v>34</v>
      </c>
      <c r="B121" s="228" t="s">
        <v>56</v>
      </c>
      <c r="C121" s="228" t="s">
        <v>146</v>
      </c>
      <c r="D121" s="228" t="s">
        <v>147</v>
      </c>
      <c r="E121" s="236">
        <v>381</v>
      </c>
      <c r="F121" s="260">
        <v>45103</v>
      </c>
      <c r="G121" s="228" t="s">
        <v>343</v>
      </c>
      <c r="H121" s="230">
        <v>4000</v>
      </c>
      <c r="I121" s="231">
        <f>IF(X121 = 55, H121 + SUM(S121:S121) - SUM(T121:T121) - SUM(P121:P121) - V121,0)</f>
        <v>0</v>
      </c>
      <c r="J121" s="228" t="s">
        <v>207</v>
      </c>
      <c r="K121" s="228" t="s">
        <v>158</v>
      </c>
      <c r="L121" s="228" t="s">
        <v>146</v>
      </c>
      <c r="M121" s="228"/>
      <c r="N121" s="260">
        <v>45103</v>
      </c>
      <c r="O121" s="260" t="s">
        <v>181</v>
      </c>
      <c r="P121" s="230">
        <v>4000</v>
      </c>
      <c r="Q121" s="229">
        <v>45107</v>
      </c>
      <c r="R121" s="228"/>
      <c r="S121" s="230"/>
      <c r="T121" s="230"/>
      <c r="U121" s="230"/>
      <c r="V121" s="237"/>
      <c r="W121" s="241"/>
      <c r="X121" s="107">
        <v>55</v>
      </c>
    </row>
    <row r="122" spans="1:24" s="107" customFormat="1" ht="168.75" customHeight="1" x14ac:dyDescent="0.3">
      <c r="A122" s="485">
        <v>35</v>
      </c>
      <c r="B122" s="467" t="s">
        <v>56</v>
      </c>
      <c r="C122" s="467" t="s">
        <v>179</v>
      </c>
      <c r="D122" s="467" t="s">
        <v>147</v>
      </c>
      <c r="E122" s="470" t="s">
        <v>345</v>
      </c>
      <c r="F122" s="473">
        <v>45107</v>
      </c>
      <c r="G122" s="467" t="s">
        <v>346</v>
      </c>
      <c r="H122" s="476">
        <v>268400</v>
      </c>
      <c r="I122" s="479">
        <f>IF(X122 = 56, H122 + SUM(S122:S124) - SUM(T122:T124) - SUM(P122:P124) - V122,0)</f>
        <v>-1.4551915228366852E-11</v>
      </c>
      <c r="J122" s="482">
        <v>2311299612</v>
      </c>
      <c r="K122" s="467" t="s">
        <v>347</v>
      </c>
      <c r="L122" s="467" t="s">
        <v>146</v>
      </c>
      <c r="M122" s="467"/>
      <c r="N122" s="348">
        <v>45138</v>
      </c>
      <c r="O122" s="473" t="s">
        <v>181</v>
      </c>
      <c r="P122" s="339">
        <v>10150.4</v>
      </c>
      <c r="Q122" s="340">
        <v>45148</v>
      </c>
      <c r="R122" s="341"/>
      <c r="S122" s="339"/>
      <c r="T122" s="339"/>
      <c r="U122" s="476"/>
      <c r="V122" s="488">
        <v>127774.02</v>
      </c>
      <c r="W122" s="491"/>
      <c r="X122" s="107">
        <v>56</v>
      </c>
    </row>
    <row r="123" spans="1:24" s="323" customFormat="1" x14ac:dyDescent="0.3">
      <c r="A123" s="486"/>
      <c r="B123" s="468"/>
      <c r="C123" s="468"/>
      <c r="D123" s="468"/>
      <c r="E123" s="471"/>
      <c r="F123" s="474"/>
      <c r="G123" s="468"/>
      <c r="H123" s="477"/>
      <c r="I123" s="480"/>
      <c r="J123" s="483"/>
      <c r="K123" s="468"/>
      <c r="L123" s="468"/>
      <c r="M123" s="468"/>
      <c r="N123" s="349">
        <v>45169</v>
      </c>
      <c r="O123" s="474"/>
      <c r="P123" s="342">
        <v>18544</v>
      </c>
      <c r="Q123" s="343">
        <v>45175</v>
      </c>
      <c r="R123" s="344"/>
      <c r="S123" s="342"/>
      <c r="T123" s="342"/>
      <c r="U123" s="477"/>
      <c r="V123" s="489"/>
      <c r="W123" s="492"/>
      <c r="X123" s="323">
        <v>56</v>
      </c>
    </row>
    <row r="124" spans="1:24" s="328" customFormat="1" x14ac:dyDescent="0.3">
      <c r="A124" s="487"/>
      <c r="B124" s="469"/>
      <c r="C124" s="469"/>
      <c r="D124" s="469"/>
      <c r="E124" s="472"/>
      <c r="F124" s="475"/>
      <c r="G124" s="469"/>
      <c r="H124" s="478"/>
      <c r="I124" s="481"/>
      <c r="J124" s="484"/>
      <c r="K124" s="469"/>
      <c r="L124" s="469"/>
      <c r="M124" s="469"/>
      <c r="N124" s="350">
        <v>45199</v>
      </c>
      <c r="O124" s="475"/>
      <c r="P124" s="345">
        <v>111931.58</v>
      </c>
      <c r="Q124" s="346">
        <v>45205</v>
      </c>
      <c r="R124" s="347"/>
      <c r="S124" s="345"/>
      <c r="T124" s="345"/>
      <c r="U124" s="478"/>
      <c r="V124" s="490"/>
      <c r="W124" s="493"/>
      <c r="X124" s="328">
        <v>56</v>
      </c>
    </row>
    <row r="125" spans="1:24" s="107" customFormat="1" ht="144" x14ac:dyDescent="0.3">
      <c r="A125" s="261">
        <v>36</v>
      </c>
      <c r="B125" s="263" t="s">
        <v>56</v>
      </c>
      <c r="C125" s="263" t="s">
        <v>146</v>
      </c>
      <c r="D125" s="263" t="s">
        <v>147</v>
      </c>
      <c r="E125" s="266" t="s">
        <v>350</v>
      </c>
      <c r="F125" s="269">
        <v>45125</v>
      </c>
      <c r="G125" s="263" t="s">
        <v>351</v>
      </c>
      <c r="H125" s="262">
        <v>19500</v>
      </c>
      <c r="I125" s="267">
        <f>IF(X125 = 57, H125 + SUM(S125:S125) - SUM(T125:T125) - SUM(P125:P125) - V125,0)</f>
        <v>0</v>
      </c>
      <c r="J125" s="263" t="s">
        <v>352</v>
      </c>
      <c r="K125" s="263" t="s">
        <v>353</v>
      </c>
      <c r="L125" s="263" t="s">
        <v>146</v>
      </c>
      <c r="M125" s="263"/>
      <c r="N125" s="269"/>
      <c r="O125" s="269" t="s">
        <v>235</v>
      </c>
      <c r="P125" s="262">
        <v>19500</v>
      </c>
      <c r="Q125" s="268">
        <v>45132</v>
      </c>
      <c r="R125" s="263"/>
      <c r="S125" s="262"/>
      <c r="T125" s="262"/>
      <c r="U125" s="262"/>
      <c r="V125" s="264"/>
      <c r="W125" s="265"/>
      <c r="X125" s="107">
        <v>57</v>
      </c>
    </row>
    <row r="126" spans="1:24" s="107" customFormat="1" ht="144" x14ac:dyDescent="0.3">
      <c r="A126" s="270">
        <v>37</v>
      </c>
      <c r="B126" s="272" t="s">
        <v>56</v>
      </c>
      <c r="C126" s="272" t="s">
        <v>146</v>
      </c>
      <c r="D126" s="272" t="s">
        <v>147</v>
      </c>
      <c r="E126" s="275">
        <v>186</v>
      </c>
      <c r="F126" s="281">
        <v>45131</v>
      </c>
      <c r="G126" s="272" t="s">
        <v>354</v>
      </c>
      <c r="H126" s="271">
        <v>41050</v>
      </c>
      <c r="I126" s="276">
        <f>IF(X126 = 58, H126 + SUM(S126:S126) - SUM(T126:T126) - SUM(P126:P126) - V126,0)</f>
        <v>0</v>
      </c>
      <c r="J126" s="272" t="s">
        <v>355</v>
      </c>
      <c r="K126" s="272" t="s">
        <v>225</v>
      </c>
      <c r="L126" s="272" t="s">
        <v>146</v>
      </c>
      <c r="M126" s="272"/>
      <c r="N126" s="281"/>
      <c r="O126" s="281" t="s">
        <v>235</v>
      </c>
      <c r="P126" s="271">
        <v>41050</v>
      </c>
      <c r="Q126" s="277">
        <v>45132</v>
      </c>
      <c r="R126" s="272"/>
      <c r="S126" s="271"/>
      <c r="T126" s="271"/>
      <c r="U126" s="271"/>
      <c r="V126" s="273"/>
      <c r="W126" s="274"/>
      <c r="X126" s="107">
        <v>58</v>
      </c>
    </row>
    <row r="127" spans="1:24" s="107" customFormat="1" ht="144" x14ac:dyDescent="0.3">
      <c r="A127" s="270">
        <v>38</v>
      </c>
      <c r="B127" s="272" t="s">
        <v>56</v>
      </c>
      <c r="C127" s="272" t="s">
        <v>146</v>
      </c>
      <c r="D127" s="272" t="s">
        <v>147</v>
      </c>
      <c r="E127" s="275" t="s">
        <v>312</v>
      </c>
      <c r="F127" s="281">
        <v>45128</v>
      </c>
      <c r="G127" s="272" t="s">
        <v>357</v>
      </c>
      <c r="H127" s="271">
        <v>100000</v>
      </c>
      <c r="I127" s="276">
        <f>IF(X127 = 59, H127 + SUM(S127:S127) - SUM(T127:T127) - SUM(P127:P127) - V127,0)</f>
        <v>0</v>
      </c>
      <c r="J127" s="272" t="s">
        <v>313</v>
      </c>
      <c r="K127" s="272" t="s">
        <v>314</v>
      </c>
      <c r="L127" s="272" t="s">
        <v>146</v>
      </c>
      <c r="M127" s="272"/>
      <c r="N127" s="281"/>
      <c r="O127" s="281" t="s">
        <v>235</v>
      </c>
      <c r="P127" s="271">
        <v>100000</v>
      </c>
      <c r="Q127" s="277">
        <v>45133</v>
      </c>
      <c r="R127" s="272"/>
      <c r="S127" s="271"/>
      <c r="T127" s="271"/>
      <c r="U127" s="271"/>
      <c r="V127" s="273"/>
      <c r="W127" s="274"/>
      <c r="X127" s="107">
        <v>59</v>
      </c>
    </row>
    <row r="128" spans="1:24" s="107" customFormat="1" ht="144" x14ac:dyDescent="0.3">
      <c r="A128" s="270">
        <v>39</v>
      </c>
      <c r="B128" s="272" t="s">
        <v>56</v>
      </c>
      <c r="C128" s="272" t="s">
        <v>146</v>
      </c>
      <c r="D128" s="272" t="s">
        <v>147</v>
      </c>
      <c r="E128" s="275">
        <v>91</v>
      </c>
      <c r="F128" s="281">
        <v>45132</v>
      </c>
      <c r="G128" s="272" t="s">
        <v>231</v>
      </c>
      <c r="H128" s="271">
        <v>4500</v>
      </c>
      <c r="I128" s="276">
        <f>IF(X128 = 60, H128 + SUM(S128:S128) - SUM(T128:T128) - SUM(P128:P128) - V128,0)</f>
        <v>0</v>
      </c>
      <c r="J128" s="272" t="s">
        <v>356</v>
      </c>
      <c r="K128" s="272" t="s">
        <v>171</v>
      </c>
      <c r="L128" s="272" t="s">
        <v>146</v>
      </c>
      <c r="M128" s="272"/>
      <c r="N128" s="281"/>
      <c r="O128" s="281" t="s">
        <v>235</v>
      </c>
      <c r="P128" s="271">
        <v>4500</v>
      </c>
      <c r="Q128" s="277">
        <v>45142</v>
      </c>
      <c r="R128" s="272"/>
      <c r="S128" s="271"/>
      <c r="T128" s="271"/>
      <c r="U128" s="271"/>
      <c r="V128" s="273"/>
      <c r="W128" s="274"/>
      <c r="X128" s="107">
        <v>60</v>
      </c>
    </row>
    <row r="129" spans="1:24" s="107" customFormat="1" ht="144" x14ac:dyDescent="0.3">
      <c r="A129" s="299">
        <v>40</v>
      </c>
      <c r="B129" s="296" t="s">
        <v>56</v>
      </c>
      <c r="C129" s="296" t="s">
        <v>146</v>
      </c>
      <c r="D129" s="296" t="s">
        <v>147</v>
      </c>
      <c r="E129" s="300">
        <v>44932</v>
      </c>
      <c r="F129" s="314">
        <v>45092</v>
      </c>
      <c r="G129" s="296" t="s">
        <v>265</v>
      </c>
      <c r="H129" s="301">
        <v>10225.799999999999</v>
      </c>
      <c r="I129" s="302">
        <f>IF(X129 = 61, H129 + SUM(S129:S129) - SUM(T129:T129) - SUM(P129:P129) - V129,0)</f>
        <v>0</v>
      </c>
      <c r="J129" s="296" t="s">
        <v>281</v>
      </c>
      <c r="K129" s="296" t="s">
        <v>334</v>
      </c>
      <c r="L129" s="296" t="s">
        <v>146</v>
      </c>
      <c r="M129" s="296"/>
      <c r="N129" s="314"/>
      <c r="O129" s="314" t="s">
        <v>235</v>
      </c>
      <c r="P129" s="301">
        <v>10225.799999999999</v>
      </c>
      <c r="Q129" s="304">
        <v>45167</v>
      </c>
      <c r="R129" s="296"/>
      <c r="S129" s="301"/>
      <c r="T129" s="301"/>
      <c r="U129" s="301"/>
      <c r="V129" s="303"/>
      <c r="W129" s="297"/>
      <c r="X129" s="107">
        <v>61</v>
      </c>
    </row>
    <row r="130" spans="1:24" s="107" customFormat="1" ht="144" x14ac:dyDescent="0.3">
      <c r="A130" s="299">
        <v>41</v>
      </c>
      <c r="B130" s="296" t="s">
        <v>56</v>
      </c>
      <c r="C130" s="296" t="s">
        <v>146</v>
      </c>
      <c r="D130" s="296" t="s">
        <v>147</v>
      </c>
      <c r="E130" s="300" t="s">
        <v>358</v>
      </c>
      <c r="F130" s="314">
        <v>45140</v>
      </c>
      <c r="G130" s="296" t="s">
        <v>359</v>
      </c>
      <c r="H130" s="301">
        <v>19000</v>
      </c>
      <c r="I130" s="302">
        <f>IF(X130 = 62, H130 + SUM(S130:S130) - SUM(T130:T130) - SUM(P130:P130) - V130,0)</f>
        <v>0</v>
      </c>
      <c r="J130" s="296" t="s">
        <v>360</v>
      </c>
      <c r="K130" s="296" t="s">
        <v>361</v>
      </c>
      <c r="L130" s="296" t="s">
        <v>146</v>
      </c>
      <c r="M130" s="296"/>
      <c r="N130" s="314"/>
      <c r="O130" s="314" t="s">
        <v>235</v>
      </c>
      <c r="P130" s="301">
        <v>19000</v>
      </c>
      <c r="Q130" s="304">
        <v>45148</v>
      </c>
      <c r="R130" s="296"/>
      <c r="S130" s="301"/>
      <c r="T130" s="301"/>
      <c r="U130" s="301"/>
      <c r="V130" s="303"/>
      <c r="W130" s="297"/>
      <c r="X130" s="107">
        <v>62</v>
      </c>
    </row>
    <row r="131" spans="1:24" s="107" customFormat="1" ht="144" x14ac:dyDescent="0.3">
      <c r="A131" s="299">
        <v>42</v>
      </c>
      <c r="B131" s="296" t="s">
        <v>56</v>
      </c>
      <c r="C131" s="296" t="s">
        <v>146</v>
      </c>
      <c r="D131" s="296" t="s">
        <v>147</v>
      </c>
      <c r="E131" s="300">
        <v>458</v>
      </c>
      <c r="F131" s="314">
        <v>45146</v>
      </c>
      <c r="G131" s="296" t="s">
        <v>362</v>
      </c>
      <c r="H131" s="301">
        <v>28300</v>
      </c>
      <c r="I131" s="302">
        <f>IF(X131 = 63, H131 + SUM(S131:S131) - SUM(T131:T131) - SUM(P131:P131) - V131,0)</f>
        <v>0</v>
      </c>
      <c r="J131" s="296" t="s">
        <v>207</v>
      </c>
      <c r="K131" s="296" t="s">
        <v>158</v>
      </c>
      <c r="L131" s="296" t="s">
        <v>146</v>
      </c>
      <c r="M131" s="296"/>
      <c r="N131" s="314"/>
      <c r="O131" s="314" t="s">
        <v>235</v>
      </c>
      <c r="P131" s="301">
        <v>28300</v>
      </c>
      <c r="Q131" s="304">
        <v>45148</v>
      </c>
      <c r="R131" s="296"/>
      <c r="S131" s="301"/>
      <c r="T131" s="301"/>
      <c r="U131" s="301"/>
      <c r="V131" s="303"/>
      <c r="W131" s="297"/>
      <c r="X131" s="107">
        <v>63</v>
      </c>
    </row>
    <row r="132" spans="1:24" s="107" customFormat="1" ht="168.75" customHeight="1" x14ac:dyDescent="0.3">
      <c r="A132" s="485">
        <v>43</v>
      </c>
      <c r="B132" s="467" t="s">
        <v>56</v>
      </c>
      <c r="C132" s="467" t="s">
        <v>146</v>
      </c>
      <c r="D132" s="467" t="s">
        <v>332</v>
      </c>
      <c r="E132" s="470" t="s">
        <v>363</v>
      </c>
      <c r="F132" s="473">
        <v>45146</v>
      </c>
      <c r="G132" s="467" t="s">
        <v>364</v>
      </c>
      <c r="H132" s="476">
        <v>19188.400000000001</v>
      </c>
      <c r="I132" s="479">
        <f>IF(X132 = 64, H132 + SUM(S132:S133) - SUM(T132:T133) - SUM(P132:P133) - V132,0)</f>
        <v>0</v>
      </c>
      <c r="J132" s="467" t="s">
        <v>365</v>
      </c>
      <c r="K132" s="467" t="s">
        <v>277</v>
      </c>
      <c r="L132" s="467" t="s">
        <v>146</v>
      </c>
      <c r="M132" s="467"/>
      <c r="N132" s="348"/>
      <c r="O132" s="473" t="s">
        <v>235</v>
      </c>
      <c r="P132" s="339">
        <v>5948.25</v>
      </c>
      <c r="Q132" s="340">
        <v>45167</v>
      </c>
      <c r="R132" s="341"/>
      <c r="S132" s="339"/>
      <c r="T132" s="339"/>
      <c r="U132" s="476"/>
      <c r="V132" s="488"/>
      <c r="W132" s="491"/>
      <c r="X132" s="107">
        <v>64</v>
      </c>
    </row>
    <row r="133" spans="1:24" s="328" customFormat="1" x14ac:dyDescent="0.3">
      <c r="A133" s="487"/>
      <c r="B133" s="469"/>
      <c r="C133" s="469"/>
      <c r="D133" s="469"/>
      <c r="E133" s="472"/>
      <c r="F133" s="475"/>
      <c r="G133" s="469"/>
      <c r="H133" s="478"/>
      <c r="I133" s="481"/>
      <c r="J133" s="469"/>
      <c r="K133" s="469"/>
      <c r="L133" s="469"/>
      <c r="M133" s="469"/>
      <c r="N133" s="350"/>
      <c r="O133" s="475"/>
      <c r="P133" s="345">
        <v>13240.15</v>
      </c>
      <c r="Q133" s="346">
        <v>45205</v>
      </c>
      <c r="R133" s="347"/>
      <c r="S133" s="345"/>
      <c r="T133" s="345"/>
      <c r="U133" s="478"/>
      <c r="V133" s="490"/>
      <c r="W133" s="493"/>
      <c r="X133" s="328">
        <v>64</v>
      </c>
    </row>
    <row r="134" spans="1:24" s="107" customFormat="1" ht="144" x14ac:dyDescent="0.3">
      <c r="A134" s="299">
        <v>44</v>
      </c>
      <c r="B134" s="296" t="s">
        <v>56</v>
      </c>
      <c r="C134" s="296" t="s">
        <v>146</v>
      </c>
      <c r="D134" s="296" t="s">
        <v>147</v>
      </c>
      <c r="E134" s="300">
        <v>1</v>
      </c>
      <c r="F134" s="314">
        <v>45156</v>
      </c>
      <c r="G134" s="296" t="s">
        <v>240</v>
      </c>
      <c r="H134" s="301">
        <v>25000</v>
      </c>
      <c r="I134" s="302">
        <f>IF(X134 = 65, H134 + SUM(S134:S134) - SUM(T134:T134) - SUM(P134:P134) - V134,0)</f>
        <v>0</v>
      </c>
      <c r="J134" s="296" t="s">
        <v>366</v>
      </c>
      <c r="K134" s="296" t="s">
        <v>367</v>
      </c>
      <c r="L134" s="296" t="s">
        <v>146</v>
      </c>
      <c r="M134" s="296"/>
      <c r="N134" s="314"/>
      <c r="O134" s="314" t="s">
        <v>235</v>
      </c>
      <c r="P134" s="301">
        <v>25000</v>
      </c>
      <c r="Q134" s="304">
        <v>45163</v>
      </c>
      <c r="R134" s="296"/>
      <c r="S134" s="301"/>
      <c r="T134" s="301"/>
      <c r="U134" s="301"/>
      <c r="V134" s="303"/>
      <c r="W134" s="297"/>
      <c r="X134" s="107">
        <v>65</v>
      </c>
    </row>
    <row r="135" spans="1:24" s="107" customFormat="1" ht="168.75" customHeight="1" x14ac:dyDescent="0.3">
      <c r="A135" s="485">
        <v>45</v>
      </c>
      <c r="B135" s="467" t="s">
        <v>56</v>
      </c>
      <c r="C135" s="467" t="s">
        <v>146</v>
      </c>
      <c r="D135" s="467" t="s">
        <v>147</v>
      </c>
      <c r="E135" s="470" t="s">
        <v>368</v>
      </c>
      <c r="F135" s="473">
        <v>45162</v>
      </c>
      <c r="G135" s="467" t="s">
        <v>240</v>
      </c>
      <c r="H135" s="476">
        <v>5200</v>
      </c>
      <c r="I135" s="479">
        <f>IF(X135 = 66, H135 + SUM(S135:S136) - SUM(T135:T136) - SUM(P135:P136) - V135,0)</f>
        <v>0</v>
      </c>
      <c r="J135" s="467" t="s">
        <v>241</v>
      </c>
      <c r="K135" s="467" t="s">
        <v>242</v>
      </c>
      <c r="L135" s="467" t="s">
        <v>146</v>
      </c>
      <c r="M135" s="467"/>
      <c r="N135" s="348"/>
      <c r="O135" s="473" t="s">
        <v>235</v>
      </c>
      <c r="P135" s="339">
        <v>1560</v>
      </c>
      <c r="Q135" s="340">
        <v>45173</v>
      </c>
      <c r="R135" s="341"/>
      <c r="S135" s="339"/>
      <c r="T135" s="339"/>
      <c r="U135" s="476"/>
      <c r="V135" s="488"/>
      <c r="W135" s="491"/>
      <c r="X135" s="107">
        <v>66</v>
      </c>
    </row>
    <row r="136" spans="1:24" s="328" customFormat="1" x14ac:dyDescent="0.3">
      <c r="A136" s="487"/>
      <c r="B136" s="469"/>
      <c r="C136" s="469"/>
      <c r="D136" s="469"/>
      <c r="E136" s="472"/>
      <c r="F136" s="475"/>
      <c r="G136" s="469"/>
      <c r="H136" s="478"/>
      <c r="I136" s="481"/>
      <c r="J136" s="469"/>
      <c r="K136" s="469"/>
      <c r="L136" s="469"/>
      <c r="M136" s="469"/>
      <c r="N136" s="350"/>
      <c r="O136" s="475"/>
      <c r="P136" s="345">
        <v>3640</v>
      </c>
      <c r="Q136" s="346">
        <v>45203</v>
      </c>
      <c r="R136" s="347"/>
      <c r="S136" s="345"/>
      <c r="T136" s="345"/>
      <c r="U136" s="478"/>
      <c r="V136" s="490"/>
      <c r="W136" s="493"/>
      <c r="X136" s="328">
        <v>66</v>
      </c>
    </row>
    <row r="137" spans="1:24" s="107" customFormat="1" ht="144" x14ac:dyDescent="0.3">
      <c r="A137" s="299">
        <v>46</v>
      </c>
      <c r="B137" s="296" t="s">
        <v>56</v>
      </c>
      <c r="C137" s="296" t="s">
        <v>146</v>
      </c>
      <c r="D137" s="296" t="s">
        <v>147</v>
      </c>
      <c r="E137" s="300">
        <v>8</v>
      </c>
      <c r="F137" s="314">
        <v>45163</v>
      </c>
      <c r="G137" s="296" t="s">
        <v>240</v>
      </c>
      <c r="H137" s="301">
        <v>8500</v>
      </c>
      <c r="I137" s="302">
        <f>IF(X137 = 67, H137 + SUM(S137:S137) - SUM(T137:T137) - SUM(P137:P137) - V137,0)</f>
        <v>0</v>
      </c>
      <c r="J137" s="296" t="s">
        <v>366</v>
      </c>
      <c r="K137" s="296" t="s">
        <v>367</v>
      </c>
      <c r="L137" s="296" t="s">
        <v>146</v>
      </c>
      <c r="M137" s="296"/>
      <c r="N137" s="314">
        <v>45163</v>
      </c>
      <c r="O137" s="314" t="s">
        <v>235</v>
      </c>
      <c r="P137" s="301">
        <v>8500</v>
      </c>
      <c r="Q137" s="304">
        <v>45175</v>
      </c>
      <c r="R137" s="296"/>
      <c r="S137" s="301"/>
      <c r="T137" s="301"/>
      <c r="U137" s="301"/>
      <c r="V137" s="303"/>
      <c r="W137" s="297"/>
      <c r="X137" s="107">
        <v>67</v>
      </c>
    </row>
    <row r="138" spans="1:24" s="107" customFormat="1" ht="144" x14ac:dyDescent="0.3">
      <c r="A138" s="321">
        <v>47</v>
      </c>
      <c r="B138" s="316" t="s">
        <v>56</v>
      </c>
      <c r="C138" s="316" t="s">
        <v>146</v>
      </c>
      <c r="D138" s="316" t="s">
        <v>147</v>
      </c>
      <c r="E138" s="318">
        <v>45173</v>
      </c>
      <c r="F138" s="325">
        <v>45173</v>
      </c>
      <c r="G138" s="316" t="s">
        <v>370</v>
      </c>
      <c r="H138" s="319">
        <v>8960</v>
      </c>
      <c r="I138" s="320">
        <f>IF(X138 = 68, H138 + SUM(S138:S138) - SUM(T138:T138) - SUM(P138:P138) - V138,0)</f>
        <v>0</v>
      </c>
      <c r="J138" s="316" t="s">
        <v>371</v>
      </c>
      <c r="K138" s="316" t="s">
        <v>372</v>
      </c>
      <c r="L138" s="316" t="s">
        <v>146</v>
      </c>
      <c r="M138" s="316"/>
      <c r="N138" s="325">
        <v>45173</v>
      </c>
      <c r="O138" s="325" t="s">
        <v>235</v>
      </c>
      <c r="P138" s="319">
        <v>8960</v>
      </c>
      <c r="Q138" s="324">
        <v>45175</v>
      </c>
      <c r="R138" s="316"/>
      <c r="S138" s="319"/>
      <c r="T138" s="319"/>
      <c r="U138" s="319"/>
      <c r="V138" s="322"/>
      <c r="W138" s="315"/>
      <c r="X138" s="107">
        <v>68</v>
      </c>
    </row>
    <row r="139" spans="1:24" s="107" customFormat="1" ht="144" x14ac:dyDescent="0.3">
      <c r="A139" s="321">
        <v>48</v>
      </c>
      <c r="B139" s="316" t="s">
        <v>378</v>
      </c>
      <c r="C139" s="316" t="s">
        <v>146</v>
      </c>
      <c r="D139" s="316" t="s">
        <v>147</v>
      </c>
      <c r="E139" s="318" t="s">
        <v>344</v>
      </c>
      <c r="F139" s="325">
        <v>45175</v>
      </c>
      <c r="G139" s="316" t="s">
        <v>379</v>
      </c>
      <c r="H139" s="319">
        <v>21768.5</v>
      </c>
      <c r="I139" s="320">
        <f>IF(X139 = 69, H139 + SUM(S139:S139) - SUM(T139:T139) - SUM(P139:P139) - V139,0)</f>
        <v>0</v>
      </c>
      <c r="J139" s="316" t="s">
        <v>380</v>
      </c>
      <c r="K139" s="316" t="s">
        <v>381</v>
      </c>
      <c r="L139" s="316" t="s">
        <v>146</v>
      </c>
      <c r="M139" s="316"/>
      <c r="N139" s="325">
        <v>45175</v>
      </c>
      <c r="O139" s="325" t="s">
        <v>235</v>
      </c>
      <c r="P139" s="319">
        <v>21768.5</v>
      </c>
      <c r="Q139" s="324">
        <v>45177</v>
      </c>
      <c r="R139" s="316"/>
      <c r="S139" s="319"/>
      <c r="T139" s="319"/>
      <c r="U139" s="319"/>
      <c r="V139" s="322"/>
      <c r="W139" s="315"/>
      <c r="X139" s="107">
        <v>69</v>
      </c>
    </row>
    <row r="140" spans="1:24" s="107" customFormat="1" ht="144" x14ac:dyDescent="0.3">
      <c r="A140" s="321">
        <v>49</v>
      </c>
      <c r="B140" s="316" t="s">
        <v>56</v>
      </c>
      <c r="C140" s="316" t="s">
        <v>146</v>
      </c>
      <c r="D140" s="316" t="s">
        <v>147</v>
      </c>
      <c r="E140" s="318">
        <v>8</v>
      </c>
      <c r="F140" s="325">
        <v>45182</v>
      </c>
      <c r="G140" s="316" t="s">
        <v>321</v>
      </c>
      <c r="H140" s="319">
        <v>20310</v>
      </c>
      <c r="I140" s="320">
        <f>IF(X140 = 70, H140 + SUM(S140:S140) - SUM(T140:T140) - SUM(P140:P140) - V140,0)</f>
        <v>0</v>
      </c>
      <c r="J140" s="316" t="s">
        <v>382</v>
      </c>
      <c r="K140" s="316" t="s">
        <v>259</v>
      </c>
      <c r="L140" s="316"/>
      <c r="M140" s="316"/>
      <c r="N140" s="325">
        <v>45188</v>
      </c>
      <c r="O140" s="325" t="s">
        <v>235</v>
      </c>
      <c r="P140" s="319">
        <v>20310</v>
      </c>
      <c r="Q140" s="324">
        <v>45189</v>
      </c>
      <c r="R140" s="316"/>
      <c r="S140" s="319"/>
      <c r="T140" s="319"/>
      <c r="U140" s="319"/>
      <c r="V140" s="322"/>
      <c r="W140" s="315"/>
      <c r="X140" s="107">
        <v>70</v>
      </c>
    </row>
    <row r="141" spans="1:24" s="107" customFormat="1" ht="144" x14ac:dyDescent="0.3">
      <c r="A141" s="321">
        <v>50</v>
      </c>
      <c r="B141" s="316" t="s">
        <v>56</v>
      </c>
      <c r="C141" s="316" t="s">
        <v>146</v>
      </c>
      <c r="D141" s="316" t="s">
        <v>147</v>
      </c>
      <c r="E141" s="317">
        <v>68</v>
      </c>
      <c r="F141" s="325">
        <v>45177</v>
      </c>
      <c r="G141" s="316" t="s">
        <v>383</v>
      </c>
      <c r="H141" s="319">
        <v>100000</v>
      </c>
      <c r="I141" s="320">
        <f>IF(X141 = 71, H141 + SUM(S141:S141) - SUM(T141:T141) - SUM(P141:P141) - V141,0)</f>
        <v>0</v>
      </c>
      <c r="J141" s="316" t="s">
        <v>384</v>
      </c>
      <c r="K141" s="316" t="s">
        <v>385</v>
      </c>
      <c r="L141" s="316"/>
      <c r="M141" s="316"/>
      <c r="N141" s="325"/>
      <c r="O141" s="325" t="s">
        <v>235</v>
      </c>
      <c r="P141" s="319">
        <v>100000</v>
      </c>
      <c r="Q141" s="324">
        <v>45177</v>
      </c>
      <c r="R141" s="316"/>
      <c r="S141" s="319"/>
      <c r="T141" s="319"/>
      <c r="U141" s="319"/>
      <c r="V141" s="322"/>
      <c r="W141" s="315"/>
      <c r="X141" s="107">
        <v>71</v>
      </c>
    </row>
    <row r="142" spans="1:24" s="107" customFormat="1" ht="144" x14ac:dyDescent="0.3">
      <c r="A142" s="329">
        <v>51</v>
      </c>
      <c r="B142" s="326" t="s">
        <v>56</v>
      </c>
      <c r="C142" s="326" t="s">
        <v>146</v>
      </c>
      <c r="D142" s="326" t="s">
        <v>147</v>
      </c>
      <c r="E142" s="337" t="s">
        <v>388</v>
      </c>
      <c r="F142" s="336">
        <v>45194</v>
      </c>
      <c r="G142" s="326" t="s">
        <v>389</v>
      </c>
      <c r="H142" s="331">
        <v>31250</v>
      </c>
      <c r="I142" s="332">
        <f>IF(X142 = 72, H142 + SUM(S142:S142) - SUM(T142:T142) - SUM(P142:P142) - V142,0)</f>
        <v>0</v>
      </c>
      <c r="J142" s="326" t="s">
        <v>322</v>
      </c>
      <c r="K142" s="326" t="s">
        <v>323</v>
      </c>
      <c r="L142" s="326"/>
      <c r="M142" s="326"/>
      <c r="N142" s="336">
        <v>45194</v>
      </c>
      <c r="O142" s="336" t="s">
        <v>235</v>
      </c>
      <c r="P142" s="331">
        <v>31250</v>
      </c>
      <c r="Q142" s="330">
        <v>45203</v>
      </c>
      <c r="R142" s="326"/>
      <c r="S142" s="331"/>
      <c r="T142" s="331"/>
      <c r="U142" s="331"/>
      <c r="V142" s="338"/>
      <c r="W142" s="327"/>
      <c r="X142" s="107">
        <v>72</v>
      </c>
    </row>
    <row r="143" spans="1:24" s="107" customFormat="1" ht="144" x14ac:dyDescent="0.3">
      <c r="A143" s="329">
        <v>52</v>
      </c>
      <c r="B143" s="326" t="s">
        <v>56</v>
      </c>
      <c r="C143" s="326" t="s">
        <v>146</v>
      </c>
      <c r="D143" s="326" t="s">
        <v>147</v>
      </c>
      <c r="E143" s="337" t="s">
        <v>392</v>
      </c>
      <c r="F143" s="336">
        <v>45203</v>
      </c>
      <c r="G143" s="326" t="s">
        <v>393</v>
      </c>
      <c r="H143" s="331">
        <v>10000</v>
      </c>
      <c r="I143" s="332">
        <f>IF(X143 = 73, H143 + SUM(S143:S143) - SUM(T143:T143) - SUM(P143:P143) - V143,0)</f>
        <v>0</v>
      </c>
      <c r="J143" s="326" t="s">
        <v>263</v>
      </c>
      <c r="K143" s="326" t="s">
        <v>264</v>
      </c>
      <c r="L143" s="326"/>
      <c r="M143" s="326"/>
      <c r="N143" s="336"/>
      <c r="O143" s="336" t="s">
        <v>235</v>
      </c>
      <c r="P143" s="331">
        <v>10000</v>
      </c>
      <c r="Q143" s="330">
        <v>45205</v>
      </c>
      <c r="R143" s="326"/>
      <c r="S143" s="331"/>
      <c r="T143" s="331"/>
      <c r="U143" s="331"/>
      <c r="V143" s="338"/>
      <c r="W143" s="327"/>
      <c r="X143" s="107">
        <v>73</v>
      </c>
    </row>
    <row r="144" spans="1:24" s="107" customFormat="1" ht="144" x14ac:dyDescent="0.3">
      <c r="A144" s="329">
        <v>53</v>
      </c>
      <c r="B144" s="326" t="s">
        <v>56</v>
      </c>
      <c r="C144" s="326" t="s">
        <v>146</v>
      </c>
      <c r="D144" s="326" t="s">
        <v>147</v>
      </c>
      <c r="E144" s="337" t="s">
        <v>394</v>
      </c>
      <c r="F144" s="336">
        <v>45203</v>
      </c>
      <c r="G144" s="326" t="s">
        <v>395</v>
      </c>
      <c r="H144" s="331">
        <v>35000</v>
      </c>
      <c r="I144" s="332">
        <f>IF(X144 = 74, H144 + SUM(S144:S144) - SUM(T144:T144) - SUM(P144:P144) - V144,0)</f>
        <v>0</v>
      </c>
      <c r="J144" s="326" t="s">
        <v>263</v>
      </c>
      <c r="K144" s="326" t="s">
        <v>264</v>
      </c>
      <c r="L144" s="326"/>
      <c r="M144" s="326"/>
      <c r="N144" s="336"/>
      <c r="O144" s="336" t="s">
        <v>235</v>
      </c>
      <c r="P144" s="331">
        <v>35000</v>
      </c>
      <c r="Q144" s="330">
        <v>45205</v>
      </c>
      <c r="R144" s="326"/>
      <c r="S144" s="331"/>
      <c r="T144" s="331"/>
      <c r="U144" s="331"/>
      <c r="V144" s="338"/>
      <c r="W144" s="327"/>
      <c r="X144" s="107">
        <v>74</v>
      </c>
    </row>
    <row r="145" spans="1:24" s="107" customFormat="1" ht="144" x14ac:dyDescent="0.3">
      <c r="A145" s="329">
        <v>54</v>
      </c>
      <c r="B145" s="326" t="s">
        <v>56</v>
      </c>
      <c r="C145" s="326" t="s">
        <v>146</v>
      </c>
      <c r="D145" s="326" t="s">
        <v>147</v>
      </c>
      <c r="E145" s="337" t="s">
        <v>397</v>
      </c>
      <c r="F145" s="336">
        <v>45203</v>
      </c>
      <c r="G145" s="326" t="s">
        <v>396</v>
      </c>
      <c r="H145" s="331">
        <v>25000</v>
      </c>
      <c r="I145" s="332">
        <f>IF(X145 = 75, H145 + SUM(S145:S145) - SUM(T145:T145) - SUM(P145:P145) - V145,0)</f>
        <v>0</v>
      </c>
      <c r="J145" s="326" t="s">
        <v>263</v>
      </c>
      <c r="K145" s="326" t="s">
        <v>264</v>
      </c>
      <c r="L145" s="326"/>
      <c r="M145" s="326"/>
      <c r="N145" s="336"/>
      <c r="O145" s="336" t="s">
        <v>235</v>
      </c>
      <c r="P145" s="331">
        <v>25000</v>
      </c>
      <c r="Q145" s="330">
        <v>45205</v>
      </c>
      <c r="R145" s="326"/>
      <c r="S145" s="331"/>
      <c r="T145" s="331"/>
      <c r="U145" s="331"/>
      <c r="V145" s="338"/>
      <c r="W145" s="327"/>
      <c r="X145" s="107">
        <v>75</v>
      </c>
    </row>
    <row r="146" spans="1:24" s="107" customFormat="1" ht="144" x14ac:dyDescent="0.3">
      <c r="A146" s="329">
        <v>55</v>
      </c>
      <c r="B146" s="326" t="s">
        <v>56</v>
      </c>
      <c r="C146" s="326" t="s">
        <v>146</v>
      </c>
      <c r="D146" s="326" t="s">
        <v>147</v>
      </c>
      <c r="E146" s="337" t="s">
        <v>398</v>
      </c>
      <c r="F146" s="336">
        <v>45210</v>
      </c>
      <c r="G146" s="326" t="s">
        <v>326</v>
      </c>
      <c r="H146" s="331">
        <v>116748</v>
      </c>
      <c r="I146" s="332">
        <f>IF(X146 = 76, H146 + SUM(S146:S146) - SUM(T146:T146) - SUM(P146:P146) - V146,0)</f>
        <v>0</v>
      </c>
      <c r="J146" s="326" t="s">
        <v>327</v>
      </c>
      <c r="K146" s="326" t="s">
        <v>328</v>
      </c>
      <c r="L146" s="326"/>
      <c r="M146" s="326"/>
      <c r="N146" s="336">
        <v>45233</v>
      </c>
      <c r="O146" s="336" t="s">
        <v>181</v>
      </c>
      <c r="P146" s="331">
        <v>116748</v>
      </c>
      <c r="Q146" s="330">
        <v>45245</v>
      </c>
      <c r="R146" s="326"/>
      <c r="S146" s="331"/>
      <c r="T146" s="331"/>
      <c r="U146" s="331"/>
      <c r="V146" s="338"/>
      <c r="W146" s="327"/>
      <c r="X146" s="107">
        <v>76</v>
      </c>
    </row>
    <row r="147" spans="1:24" s="107" customFormat="1" ht="144" x14ac:dyDescent="0.3">
      <c r="A147" s="329">
        <v>56</v>
      </c>
      <c r="B147" s="326" t="s">
        <v>56</v>
      </c>
      <c r="C147" s="326" t="s">
        <v>146</v>
      </c>
      <c r="D147" s="326" t="s">
        <v>147</v>
      </c>
      <c r="E147" s="337" t="s">
        <v>399</v>
      </c>
      <c r="F147" s="336">
        <v>45210</v>
      </c>
      <c r="G147" s="326" t="s">
        <v>326</v>
      </c>
      <c r="H147" s="331">
        <v>18155</v>
      </c>
      <c r="I147" s="332">
        <f>IF(X147 = 77, H147 + SUM(S147:S147) - SUM(T147:T147) - SUM(P147:P147) - V147,0)</f>
        <v>0</v>
      </c>
      <c r="J147" s="326" t="s">
        <v>327</v>
      </c>
      <c r="K147" s="326" t="s">
        <v>328</v>
      </c>
      <c r="L147" s="326"/>
      <c r="M147" s="326"/>
      <c r="N147" s="336">
        <v>45233</v>
      </c>
      <c r="O147" s="336" t="s">
        <v>181</v>
      </c>
      <c r="P147" s="331">
        <v>18155</v>
      </c>
      <c r="Q147" s="330">
        <v>45245</v>
      </c>
      <c r="R147" s="326"/>
      <c r="S147" s="331"/>
      <c r="T147" s="331"/>
      <c r="U147" s="331"/>
      <c r="V147" s="338"/>
      <c r="W147" s="327"/>
      <c r="X147" s="107">
        <v>77</v>
      </c>
    </row>
    <row r="148" spans="1:24" s="107" customFormat="1" ht="144" x14ac:dyDescent="0.3">
      <c r="A148" s="329">
        <v>57</v>
      </c>
      <c r="B148" s="326" t="s">
        <v>56</v>
      </c>
      <c r="C148" s="326" t="s">
        <v>146</v>
      </c>
      <c r="D148" s="326" t="s">
        <v>147</v>
      </c>
      <c r="E148" s="337" t="s">
        <v>401</v>
      </c>
      <c r="F148" s="336">
        <v>45218</v>
      </c>
      <c r="G148" s="326" t="s">
        <v>308</v>
      </c>
      <c r="H148" s="331">
        <v>7626.25</v>
      </c>
      <c r="I148" s="332">
        <f>IF(X148 = 78, H148 + SUM(S148:S148) - SUM(T148:T148) - SUM(P148:P148) - V148,0)</f>
        <v>0</v>
      </c>
      <c r="J148" s="326" t="s">
        <v>309</v>
      </c>
      <c r="K148" s="326" t="s">
        <v>310</v>
      </c>
      <c r="L148" s="326"/>
      <c r="M148" s="326"/>
      <c r="N148" s="336"/>
      <c r="O148" s="336" t="s">
        <v>235</v>
      </c>
      <c r="P148" s="331">
        <v>7626.25</v>
      </c>
      <c r="Q148" s="330">
        <v>45224</v>
      </c>
      <c r="R148" s="326"/>
      <c r="S148" s="331"/>
      <c r="T148" s="331"/>
      <c r="U148" s="331"/>
      <c r="V148" s="338"/>
      <c r="W148" s="327"/>
      <c r="X148" s="107">
        <v>78</v>
      </c>
    </row>
    <row r="149" spans="1:24" s="107" customFormat="1" ht="144" x14ac:dyDescent="0.3">
      <c r="A149" s="354">
        <v>58</v>
      </c>
      <c r="B149" s="351" t="s">
        <v>56</v>
      </c>
      <c r="C149" s="351" t="s">
        <v>179</v>
      </c>
      <c r="D149" s="351" t="s">
        <v>147</v>
      </c>
      <c r="E149" s="355" t="s">
        <v>411</v>
      </c>
      <c r="F149" s="360">
        <v>45198</v>
      </c>
      <c r="G149" s="351" t="s">
        <v>346</v>
      </c>
      <c r="H149" s="356">
        <v>424000</v>
      </c>
      <c r="I149" s="357">
        <f>IF(X149 = 79, H149 + SUM(S149:S149) - SUM(T149:T149) - SUM(P149:P149) - V149,0)</f>
        <v>310167.25</v>
      </c>
      <c r="J149" s="351" t="s">
        <v>412</v>
      </c>
      <c r="K149" s="351" t="s">
        <v>347</v>
      </c>
      <c r="L149" s="351"/>
      <c r="M149" s="351"/>
      <c r="N149" s="360"/>
      <c r="O149" s="360" t="s">
        <v>181</v>
      </c>
      <c r="P149" s="356">
        <v>113832.75</v>
      </c>
      <c r="Q149" s="358">
        <v>45238</v>
      </c>
      <c r="R149" s="351"/>
      <c r="S149" s="356"/>
      <c r="T149" s="356"/>
      <c r="U149" s="356"/>
      <c r="V149" s="359"/>
      <c r="W149" s="352"/>
      <c r="X149" s="107">
        <v>79</v>
      </c>
    </row>
    <row r="150" spans="1:24" s="107" customFormat="1" ht="144" x14ac:dyDescent="0.3">
      <c r="A150" s="354">
        <v>59</v>
      </c>
      <c r="B150" s="351" t="s">
        <v>56</v>
      </c>
      <c r="C150" s="351" t="s">
        <v>146</v>
      </c>
      <c r="D150" s="351" t="s">
        <v>147</v>
      </c>
      <c r="E150" s="355">
        <v>45236</v>
      </c>
      <c r="F150" s="360">
        <v>45236</v>
      </c>
      <c r="G150" s="351" t="s">
        <v>413</v>
      </c>
      <c r="H150" s="356">
        <v>5150</v>
      </c>
      <c r="I150" s="357">
        <f>IF(X150 = 80, H150 + SUM(S150:S150) - SUM(T150:T150) - SUM(P150:P150) - V150,0)</f>
        <v>0</v>
      </c>
      <c r="J150" s="351" t="s">
        <v>322</v>
      </c>
      <c r="K150" s="351" t="s">
        <v>323</v>
      </c>
      <c r="L150" s="351"/>
      <c r="M150" s="351"/>
      <c r="N150" s="360">
        <v>45239</v>
      </c>
      <c r="O150" s="360" t="s">
        <v>235</v>
      </c>
      <c r="P150" s="356">
        <v>5150</v>
      </c>
      <c r="Q150" s="358">
        <v>45250</v>
      </c>
      <c r="R150" s="351"/>
      <c r="S150" s="356"/>
      <c r="T150" s="356"/>
      <c r="U150" s="356"/>
      <c r="V150" s="359"/>
      <c r="W150" s="352"/>
      <c r="X150" s="107">
        <v>80</v>
      </c>
    </row>
    <row r="151" spans="1:24" s="107" customFormat="1" ht="144" x14ac:dyDescent="0.3">
      <c r="A151" s="354">
        <v>60</v>
      </c>
      <c r="B151" s="351" t="s">
        <v>56</v>
      </c>
      <c r="C151" s="351" t="s">
        <v>146</v>
      </c>
      <c r="D151" s="351" t="s">
        <v>147</v>
      </c>
      <c r="E151" s="355">
        <v>45239</v>
      </c>
      <c r="F151" s="360">
        <v>45239</v>
      </c>
      <c r="G151" s="351" t="s">
        <v>321</v>
      </c>
      <c r="H151" s="356">
        <v>8078</v>
      </c>
      <c r="I151" s="357">
        <f>IF(X151 = 81, H151 + SUM(S151:S151) - SUM(T151:T151) - SUM(P151:P151) - V151,0)</f>
        <v>0</v>
      </c>
      <c r="J151" s="351" t="s">
        <v>322</v>
      </c>
      <c r="K151" s="351" t="s">
        <v>323</v>
      </c>
      <c r="L151" s="351"/>
      <c r="M151" s="351"/>
      <c r="N151" s="360">
        <v>45240</v>
      </c>
      <c r="O151" s="360" t="s">
        <v>235</v>
      </c>
      <c r="P151" s="356">
        <v>8078</v>
      </c>
      <c r="Q151" s="358">
        <v>45250</v>
      </c>
      <c r="R151" s="351"/>
      <c r="S151" s="356"/>
      <c r="T151" s="356"/>
      <c r="U151" s="356"/>
      <c r="V151" s="359"/>
      <c r="W151" s="352"/>
      <c r="X151" s="107">
        <v>81</v>
      </c>
    </row>
    <row r="152" spans="1:24" s="107" customFormat="1" ht="144" x14ac:dyDescent="0.3">
      <c r="A152" s="354">
        <v>61</v>
      </c>
      <c r="B152" s="351" t="s">
        <v>56</v>
      </c>
      <c r="C152" s="351" t="s">
        <v>146</v>
      </c>
      <c r="D152" s="351" t="s">
        <v>147</v>
      </c>
      <c r="E152" s="355" t="s">
        <v>414</v>
      </c>
      <c r="F152" s="360">
        <v>45243</v>
      </c>
      <c r="G152" s="351" t="s">
        <v>240</v>
      </c>
      <c r="H152" s="356">
        <v>14800</v>
      </c>
      <c r="I152" s="357">
        <f>IF(X152 = 82, H152 + SUM(S152:S152) - SUM(T152:T152) - SUM(P152:P152) - V152,0)</f>
        <v>10360</v>
      </c>
      <c r="J152" s="351" t="s">
        <v>241</v>
      </c>
      <c r="K152" s="351" t="s">
        <v>242</v>
      </c>
      <c r="L152" s="351"/>
      <c r="M152" s="351"/>
      <c r="N152" s="360">
        <v>45244</v>
      </c>
      <c r="O152" s="360" t="s">
        <v>235</v>
      </c>
      <c r="P152" s="356">
        <v>4440</v>
      </c>
      <c r="Q152" s="358">
        <v>45250</v>
      </c>
      <c r="R152" s="351"/>
      <c r="S152" s="356"/>
      <c r="T152" s="356"/>
      <c r="U152" s="356"/>
      <c r="V152" s="359"/>
      <c r="W152" s="352"/>
      <c r="X152" s="107">
        <v>82</v>
      </c>
    </row>
    <row r="153" spans="1:24" s="107" customFormat="1" ht="144" x14ac:dyDescent="0.3">
      <c r="A153" s="354">
        <v>62</v>
      </c>
      <c r="B153" s="351" t="s">
        <v>56</v>
      </c>
      <c r="C153" s="351" t="s">
        <v>146</v>
      </c>
      <c r="D153" s="351" t="s">
        <v>147</v>
      </c>
      <c r="E153" s="355">
        <v>2617</v>
      </c>
      <c r="F153" s="360">
        <v>45245</v>
      </c>
      <c r="G153" s="351" t="s">
        <v>415</v>
      </c>
      <c r="H153" s="356">
        <v>8000</v>
      </c>
      <c r="I153" s="357">
        <f>IF(X153 = 83, H153 + SUM(S153:S153) - SUM(T153:T153) - SUM(P153:P153) - V153,0)</f>
        <v>0</v>
      </c>
      <c r="J153" s="351" t="s">
        <v>416</v>
      </c>
      <c r="K153" s="351" t="s">
        <v>417</v>
      </c>
      <c r="L153" s="351" t="s">
        <v>146</v>
      </c>
      <c r="M153" s="351"/>
      <c r="N153" s="360">
        <v>45245</v>
      </c>
      <c r="O153" s="360" t="s">
        <v>181</v>
      </c>
      <c r="P153" s="356">
        <v>8000</v>
      </c>
      <c r="Q153" s="358">
        <v>45245</v>
      </c>
      <c r="R153" s="351"/>
      <c r="S153" s="356"/>
      <c r="T153" s="356"/>
      <c r="U153" s="356"/>
      <c r="V153" s="359"/>
      <c r="W153" s="352"/>
      <c r="X153" s="107">
        <v>83</v>
      </c>
    </row>
    <row r="154" spans="1:24" s="107" customFormat="1" ht="144" x14ac:dyDescent="0.3">
      <c r="A154" s="354">
        <v>63</v>
      </c>
      <c r="B154" s="351" t="s">
        <v>56</v>
      </c>
      <c r="C154" s="351" t="s">
        <v>146</v>
      </c>
      <c r="D154" s="351" t="s">
        <v>147</v>
      </c>
      <c r="E154" s="355" t="s">
        <v>418</v>
      </c>
      <c r="F154" s="360">
        <v>45250</v>
      </c>
      <c r="G154" s="352" t="s">
        <v>421</v>
      </c>
      <c r="H154" s="356">
        <v>14000</v>
      </c>
      <c r="I154" s="357">
        <f>IF(X154 = 84, H154 + SUM(S154:S154) - SUM(T154:T154) - SUM(P154:P154) - V154,0)</f>
        <v>14000</v>
      </c>
      <c r="J154" s="351" t="s">
        <v>420</v>
      </c>
      <c r="K154" s="351" t="s">
        <v>419</v>
      </c>
      <c r="L154" s="351" t="s">
        <v>146</v>
      </c>
      <c r="M154" s="351"/>
      <c r="N154" s="360"/>
      <c r="O154" s="360" t="s">
        <v>235</v>
      </c>
      <c r="P154" s="356"/>
      <c r="Q154" s="358"/>
      <c r="R154" s="351"/>
      <c r="S154" s="356"/>
      <c r="T154" s="356"/>
      <c r="U154" s="356"/>
      <c r="V154" s="359"/>
      <c r="W154" s="352"/>
      <c r="X154" s="107">
        <v>84</v>
      </c>
    </row>
    <row r="155" spans="1:24" s="107" customFormat="1" ht="144" x14ac:dyDescent="0.3">
      <c r="A155" s="354">
        <v>64</v>
      </c>
      <c r="B155" s="351" t="s">
        <v>56</v>
      </c>
      <c r="C155" s="351" t="s">
        <v>146</v>
      </c>
      <c r="D155" s="351" t="s">
        <v>147</v>
      </c>
      <c r="E155" s="355">
        <v>90</v>
      </c>
      <c r="F155" s="360">
        <v>45257</v>
      </c>
      <c r="G155" s="352" t="s">
        <v>422</v>
      </c>
      <c r="H155" s="356">
        <v>5726.6</v>
      </c>
      <c r="I155" s="357">
        <f>IF(X155 = 85, H155 + SUM(S155:S155) - SUM(T155:T155) - SUM(P155:P155) - V155,0)</f>
        <v>0</v>
      </c>
      <c r="J155" s="351" t="s">
        <v>289</v>
      </c>
      <c r="K155" s="351" t="s">
        <v>288</v>
      </c>
      <c r="L155" s="351" t="s">
        <v>146</v>
      </c>
      <c r="M155" s="351"/>
      <c r="N155" s="360">
        <v>45258</v>
      </c>
      <c r="O155" s="360" t="s">
        <v>235</v>
      </c>
      <c r="P155" s="356">
        <v>5726.6</v>
      </c>
      <c r="Q155" s="358">
        <v>45260</v>
      </c>
      <c r="R155" s="351"/>
      <c r="S155" s="356"/>
      <c r="T155" s="356"/>
      <c r="U155" s="356"/>
      <c r="V155" s="359"/>
      <c r="W155" s="352"/>
      <c r="X155" s="107">
        <v>85</v>
      </c>
    </row>
    <row r="156" spans="1:24" x14ac:dyDescent="0.3">
      <c r="A156" s="14"/>
      <c r="B156" s="109"/>
      <c r="C156" s="14"/>
      <c r="D156" s="14"/>
      <c r="E156" s="364"/>
      <c r="F156" s="14"/>
      <c r="G156" s="14"/>
      <c r="H156" s="15"/>
      <c r="I156" s="15"/>
      <c r="J156" s="14"/>
      <c r="K156" s="14"/>
      <c r="L156" s="14"/>
      <c r="M156" s="14"/>
      <c r="N156" s="29"/>
      <c r="O156" s="14"/>
      <c r="P156" s="104"/>
      <c r="Q156" s="29"/>
      <c r="R156" s="16"/>
      <c r="S156" s="16"/>
      <c r="T156" s="16"/>
      <c r="U156" s="29"/>
      <c r="V156" s="104"/>
      <c r="W156" s="16"/>
      <c r="X156" s="8">
        <v>86</v>
      </c>
    </row>
    <row r="157" spans="1:24" s="2" customFormat="1" x14ac:dyDescent="0.3">
      <c r="A157" s="41"/>
      <c r="B157" s="110"/>
      <c r="C157" s="41"/>
      <c r="D157" s="41"/>
      <c r="E157" s="365"/>
      <c r="F157" s="41"/>
      <c r="G157" s="41"/>
      <c r="H157" s="44"/>
      <c r="I157" s="44"/>
      <c r="J157" s="41"/>
      <c r="K157" s="41"/>
      <c r="L157" s="41"/>
      <c r="M157" s="41"/>
      <c r="N157" s="42"/>
      <c r="O157" s="41"/>
      <c r="P157" s="40"/>
      <c r="Q157" s="42"/>
      <c r="U157" s="42"/>
      <c r="V157" s="40"/>
    </row>
    <row r="158" spans="1:24" s="2" customFormat="1" x14ac:dyDescent="0.3">
      <c r="A158" s="41"/>
      <c r="B158" s="110"/>
      <c r="C158" s="41"/>
      <c r="D158" s="41"/>
      <c r="E158" s="365"/>
      <c r="F158" s="41"/>
      <c r="G158" s="41"/>
      <c r="H158" s="44"/>
      <c r="I158" s="44"/>
      <c r="J158" s="41"/>
      <c r="K158" s="41"/>
      <c r="L158" s="41"/>
      <c r="M158" s="41"/>
      <c r="N158" s="42"/>
      <c r="O158" s="41"/>
      <c r="P158" s="40"/>
      <c r="Q158" s="42"/>
      <c r="U158" s="42"/>
      <c r="V158" s="40"/>
    </row>
    <row r="159" spans="1:24" s="2" customFormat="1" x14ac:dyDescent="0.3">
      <c r="A159" s="41"/>
      <c r="B159" s="110"/>
      <c r="C159" s="41"/>
      <c r="D159" s="41"/>
      <c r="E159" s="42"/>
      <c r="F159" s="41"/>
      <c r="G159" s="41"/>
      <c r="H159" s="44"/>
      <c r="I159" s="44"/>
      <c r="J159" s="41"/>
      <c r="K159" s="41"/>
      <c r="L159" s="41"/>
      <c r="M159" s="41"/>
      <c r="N159" s="42"/>
      <c r="O159" s="41"/>
      <c r="P159" s="40"/>
      <c r="Q159" s="42"/>
      <c r="U159" s="42"/>
      <c r="V159" s="40"/>
    </row>
    <row r="160" spans="1:24" s="2" customFormat="1" x14ac:dyDescent="0.3">
      <c r="A160" s="41"/>
      <c r="B160" s="110"/>
      <c r="C160" s="41"/>
      <c r="D160" s="41"/>
      <c r="E160" s="42"/>
      <c r="F160" s="41"/>
      <c r="G160" s="41"/>
      <c r="H160" s="44"/>
      <c r="I160" s="44"/>
      <c r="J160" s="41"/>
      <c r="K160" s="41"/>
      <c r="L160" s="41"/>
      <c r="M160" s="41"/>
      <c r="N160" s="42"/>
      <c r="O160" s="41"/>
      <c r="P160" s="40"/>
      <c r="Q160" s="42"/>
      <c r="U160" s="42"/>
      <c r="V160" s="40"/>
    </row>
    <row r="161" spans="1:22" s="2" customFormat="1" x14ac:dyDescent="0.3">
      <c r="A161" s="41"/>
      <c r="B161" s="110"/>
      <c r="C161" s="41"/>
      <c r="D161" s="41"/>
      <c r="E161" s="42"/>
      <c r="F161" s="41"/>
      <c r="G161" s="41"/>
      <c r="H161" s="44"/>
      <c r="I161" s="44"/>
      <c r="J161" s="41"/>
      <c r="K161" s="41"/>
      <c r="L161" s="41"/>
      <c r="M161" s="41"/>
      <c r="N161" s="42"/>
      <c r="O161" s="41"/>
      <c r="P161" s="40"/>
      <c r="Q161" s="42"/>
      <c r="U161" s="42"/>
      <c r="V161" s="40"/>
    </row>
  </sheetData>
  <sheetProtection password="EB34" sheet="1" objects="1" scenarios="1" formatCells="0" formatColumns="0" formatRows="0"/>
  <mergeCells count="296">
    <mergeCell ref="A114:A115"/>
    <mergeCell ref="O114:O115"/>
    <mergeCell ref="U114:U115"/>
    <mergeCell ref="A122:A124"/>
    <mergeCell ref="O122:O124"/>
    <mergeCell ref="U122:U124"/>
    <mergeCell ref="B122:B124"/>
    <mergeCell ref="V122:V124"/>
    <mergeCell ref="C122:C124"/>
    <mergeCell ref="W122:W124"/>
    <mergeCell ref="A118:A119"/>
    <mergeCell ref="O118:O119"/>
    <mergeCell ref="U118:U119"/>
    <mergeCell ref="B118:B119"/>
    <mergeCell ref="V118:V119"/>
    <mergeCell ref="C118:C119"/>
    <mergeCell ref="B114:B115"/>
    <mergeCell ref="W118:W119"/>
    <mergeCell ref="D118:D119"/>
    <mergeCell ref="E118:E119"/>
    <mergeCell ref="F118:F119"/>
    <mergeCell ref="G118:G119"/>
    <mergeCell ref="H118:H119"/>
    <mergeCell ref="I118:I119"/>
    <mergeCell ref="J118:J119"/>
    <mergeCell ref="K118:K119"/>
    <mergeCell ref="L118:L119"/>
    <mergeCell ref="M118:M119"/>
    <mergeCell ref="V114:V115"/>
    <mergeCell ref="C114:C115"/>
    <mergeCell ref="W114:W115"/>
    <mergeCell ref="D114:D115"/>
    <mergeCell ref="E114:E115"/>
    <mergeCell ref="F114:F115"/>
    <mergeCell ref="G114:G115"/>
    <mergeCell ref="H114:H115"/>
    <mergeCell ref="I114:I115"/>
    <mergeCell ref="J114:J115"/>
    <mergeCell ref="K114:K115"/>
    <mergeCell ref="L114:L115"/>
    <mergeCell ref="C98:C99"/>
    <mergeCell ref="W98:W99"/>
    <mergeCell ref="D98:D99"/>
    <mergeCell ref="E98:E99"/>
    <mergeCell ref="F98:F99"/>
    <mergeCell ref="A57:A59"/>
    <mergeCell ref="B57:B59"/>
    <mergeCell ref="F57:F59"/>
    <mergeCell ref="G57:G59"/>
    <mergeCell ref="H57:H59"/>
    <mergeCell ref="I57:I59"/>
    <mergeCell ref="J57:J59"/>
    <mergeCell ref="K57:K59"/>
    <mergeCell ref="L57:L59"/>
    <mergeCell ref="A98:A99"/>
    <mergeCell ref="O98:O99"/>
    <mergeCell ref="U98:U99"/>
    <mergeCell ref="B98:B99"/>
    <mergeCell ref="A96:A97"/>
    <mergeCell ref="O96:O97"/>
    <mergeCell ref="U96:U97"/>
    <mergeCell ref="B96:B97"/>
    <mergeCell ref="V96:V97"/>
    <mergeCell ref="C96:C97"/>
    <mergeCell ref="W96:W97"/>
    <mergeCell ref="D96:D97"/>
    <mergeCell ref="E96:E97"/>
    <mergeCell ref="F96:F97"/>
    <mergeCell ref="G96:G97"/>
    <mergeCell ref="H96:H97"/>
    <mergeCell ref="I96:I97"/>
    <mergeCell ref="J96:J97"/>
    <mergeCell ref="K96:K97"/>
    <mergeCell ref="L96:L97"/>
    <mergeCell ref="M96:M97"/>
    <mergeCell ref="A17:A20"/>
    <mergeCell ref="U17:U20"/>
    <mergeCell ref="B17:B20"/>
    <mergeCell ref="W17:W20"/>
    <mergeCell ref="C17:C20"/>
    <mergeCell ref="D17:D20"/>
    <mergeCell ref="E17:E20"/>
    <mergeCell ref="F17:F20"/>
    <mergeCell ref="G17:G20"/>
    <mergeCell ref="O17:O20"/>
    <mergeCell ref="V17:V20"/>
    <mergeCell ref="M17:M20"/>
    <mergeCell ref="W9:W11"/>
    <mergeCell ref="O9:O11"/>
    <mergeCell ref="U9:U11"/>
    <mergeCell ref="V9:V11"/>
    <mergeCell ref="A12:A16"/>
    <mergeCell ref="O12:O16"/>
    <mergeCell ref="U12:U16"/>
    <mergeCell ref="A3:E3"/>
    <mergeCell ref="S2:U2"/>
    <mergeCell ref="N2:O2"/>
    <mergeCell ref="J4:K4"/>
    <mergeCell ref="M4:N4"/>
    <mergeCell ref="O4:P4"/>
    <mergeCell ref="K2:M2"/>
    <mergeCell ref="A9:A11"/>
    <mergeCell ref="B9:B11"/>
    <mergeCell ref="D9:D11"/>
    <mergeCell ref="E9:E11"/>
    <mergeCell ref="F9:F11"/>
    <mergeCell ref="G9:G11"/>
    <mergeCell ref="H9:H11"/>
    <mergeCell ref="I9:I11"/>
    <mergeCell ref="C9:C11"/>
    <mergeCell ref="J9:J11"/>
    <mergeCell ref="K9:K11"/>
    <mergeCell ref="L9:L11"/>
    <mergeCell ref="M9:M11"/>
    <mergeCell ref="G47:G56"/>
    <mergeCell ref="H47:H56"/>
    <mergeCell ref="I47:I56"/>
    <mergeCell ref="J47:J56"/>
    <mergeCell ref="K47:K56"/>
    <mergeCell ref="L47:L56"/>
    <mergeCell ref="M47:M56"/>
    <mergeCell ref="H17:H20"/>
    <mergeCell ref="I17:I20"/>
    <mergeCell ref="J17:J20"/>
    <mergeCell ref="K17:K20"/>
    <mergeCell ref="L17:L20"/>
    <mergeCell ref="A135:A136"/>
    <mergeCell ref="O135:O136"/>
    <mergeCell ref="U135:U136"/>
    <mergeCell ref="B135:B136"/>
    <mergeCell ref="V135:V136"/>
    <mergeCell ref="C135:C136"/>
    <mergeCell ref="A47:A56"/>
    <mergeCell ref="O47:O56"/>
    <mergeCell ref="U47:U56"/>
    <mergeCell ref="B47:B56"/>
    <mergeCell ref="V47:V56"/>
    <mergeCell ref="C47:C56"/>
    <mergeCell ref="D47:D56"/>
    <mergeCell ref="E47:E56"/>
    <mergeCell ref="G98:G99"/>
    <mergeCell ref="H98:H99"/>
    <mergeCell ref="I98:I99"/>
    <mergeCell ref="J98:J99"/>
    <mergeCell ref="K98:K99"/>
    <mergeCell ref="L98:L99"/>
    <mergeCell ref="M98:M99"/>
    <mergeCell ref="O57:O59"/>
    <mergeCell ref="U57:U59"/>
    <mergeCell ref="V57:V59"/>
    <mergeCell ref="W41:W46"/>
    <mergeCell ref="W135:W136"/>
    <mergeCell ref="D135:D136"/>
    <mergeCell ref="E135:E136"/>
    <mergeCell ref="F135:F136"/>
    <mergeCell ref="G135:G136"/>
    <mergeCell ref="H135:H136"/>
    <mergeCell ref="I135:I136"/>
    <mergeCell ref="J135:J136"/>
    <mergeCell ref="K135:K136"/>
    <mergeCell ref="L135:L136"/>
    <mergeCell ref="M135:M136"/>
    <mergeCell ref="W57:W59"/>
    <mergeCell ref="D57:D59"/>
    <mergeCell ref="E57:E59"/>
    <mergeCell ref="M57:M59"/>
    <mergeCell ref="W47:W56"/>
    <mergeCell ref="F47:F56"/>
    <mergeCell ref="D41:D46"/>
    <mergeCell ref="E41:E46"/>
    <mergeCell ref="M114:M115"/>
    <mergeCell ref="V98:V99"/>
    <mergeCell ref="A132:A133"/>
    <mergeCell ref="O132:O133"/>
    <mergeCell ref="U132:U133"/>
    <mergeCell ref="B132:B133"/>
    <mergeCell ref="V132:V133"/>
    <mergeCell ref="C132:C133"/>
    <mergeCell ref="W132:W133"/>
    <mergeCell ref="D132:D133"/>
    <mergeCell ref="E132:E133"/>
    <mergeCell ref="F132:F133"/>
    <mergeCell ref="G132:G133"/>
    <mergeCell ref="H132:H133"/>
    <mergeCell ref="I132:I133"/>
    <mergeCell ref="J132:J133"/>
    <mergeCell ref="K132:K133"/>
    <mergeCell ref="L132:L133"/>
    <mergeCell ref="M132:M133"/>
    <mergeCell ref="A100:A103"/>
    <mergeCell ref="O100:O103"/>
    <mergeCell ref="U100:U103"/>
    <mergeCell ref="B100:B103"/>
    <mergeCell ref="V100:V103"/>
    <mergeCell ref="C100:C103"/>
    <mergeCell ref="W100:W103"/>
    <mergeCell ref="D100:D103"/>
    <mergeCell ref="E100:E103"/>
    <mergeCell ref="F100:F103"/>
    <mergeCell ref="G100:G103"/>
    <mergeCell ref="H100:H103"/>
    <mergeCell ref="I100:I103"/>
    <mergeCell ref="J100:J103"/>
    <mergeCell ref="K100:K103"/>
    <mergeCell ref="L100:L103"/>
    <mergeCell ref="M100:M103"/>
    <mergeCell ref="M122:M124"/>
    <mergeCell ref="D122:D124"/>
    <mergeCell ref="E122:E124"/>
    <mergeCell ref="F122:F124"/>
    <mergeCell ref="G122:G124"/>
    <mergeCell ref="H122:H124"/>
    <mergeCell ref="I122:I124"/>
    <mergeCell ref="J122:J124"/>
    <mergeCell ref="K122:K124"/>
    <mergeCell ref="L122:L124"/>
    <mergeCell ref="B12:B16"/>
    <mergeCell ref="V12:V16"/>
    <mergeCell ref="C12:C16"/>
    <mergeCell ref="W12:W16"/>
    <mergeCell ref="D12:D16"/>
    <mergeCell ref="E12:E16"/>
    <mergeCell ref="F12:F16"/>
    <mergeCell ref="G12:G16"/>
    <mergeCell ref="H12:H16"/>
    <mergeCell ref="I12:I16"/>
    <mergeCell ref="J12:J16"/>
    <mergeCell ref="K12:K16"/>
    <mergeCell ref="L12:L16"/>
    <mergeCell ref="M12:M16"/>
    <mergeCell ref="W21:W30"/>
    <mergeCell ref="D21:D30"/>
    <mergeCell ref="E21:E30"/>
    <mergeCell ref="F21:F30"/>
    <mergeCell ref="G21:G30"/>
    <mergeCell ref="H21:H30"/>
    <mergeCell ref="I21:I30"/>
    <mergeCell ref="J21:J30"/>
    <mergeCell ref="K21:K30"/>
    <mergeCell ref="L21:L30"/>
    <mergeCell ref="M21:M30"/>
    <mergeCell ref="A61:A90"/>
    <mergeCell ref="O61:O90"/>
    <mergeCell ref="U61:U90"/>
    <mergeCell ref="B61:B90"/>
    <mergeCell ref="V61:V90"/>
    <mergeCell ref="C61:C90"/>
    <mergeCell ref="A21:A30"/>
    <mergeCell ref="O21:O30"/>
    <mergeCell ref="U21:U30"/>
    <mergeCell ref="B21:B30"/>
    <mergeCell ref="V21:V30"/>
    <mergeCell ref="C21:C30"/>
    <mergeCell ref="A41:A46"/>
    <mergeCell ref="O41:O46"/>
    <mergeCell ref="U41:U46"/>
    <mergeCell ref="B41:B46"/>
    <mergeCell ref="V41:V46"/>
    <mergeCell ref="C41:C46"/>
    <mergeCell ref="C57:C59"/>
    <mergeCell ref="W61:W90"/>
    <mergeCell ref="D61:D90"/>
    <mergeCell ref="E61:E90"/>
    <mergeCell ref="F61:F90"/>
    <mergeCell ref="G61:G90"/>
    <mergeCell ref="H61:H90"/>
    <mergeCell ref="I61:I90"/>
    <mergeCell ref="J61:J90"/>
    <mergeCell ref="K61:K90"/>
    <mergeCell ref="L61:L90"/>
    <mergeCell ref="M61:M90"/>
    <mergeCell ref="O31:O40"/>
    <mergeCell ref="U31:U40"/>
    <mergeCell ref="B31:B40"/>
    <mergeCell ref="V31:V40"/>
    <mergeCell ref="C31:C40"/>
    <mergeCell ref="W31:W40"/>
    <mergeCell ref="D31:D40"/>
    <mergeCell ref="E31:E40"/>
    <mergeCell ref="F31:F40"/>
    <mergeCell ref="G31:G40"/>
    <mergeCell ref="H31:H40"/>
    <mergeCell ref="I31:I40"/>
    <mergeCell ref="J31:J40"/>
    <mergeCell ref="K31:K40"/>
    <mergeCell ref="L31:L40"/>
    <mergeCell ref="M31:M40"/>
    <mergeCell ref="F41:F46"/>
    <mergeCell ref="G41:G46"/>
    <mergeCell ref="H41:H46"/>
    <mergeCell ref="I41:I46"/>
    <mergeCell ref="J41:J46"/>
    <mergeCell ref="K41:K46"/>
    <mergeCell ref="L41:L46"/>
    <mergeCell ref="M41:M46"/>
    <mergeCell ref="A31:A40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rgb="FFFF0000"/>
  </sheetPr>
  <dimension ref="A1:X170"/>
  <sheetViews>
    <sheetView showGridLines="0" topLeftCell="D1" zoomScale="50" zoomScaleNormal="50" workbookViewId="0">
      <pane ySplit="8" topLeftCell="A137" activePane="bottomLeft" state="frozen"/>
      <selection pane="bottomLeft" activeCell="D137" sqref="D137:D138"/>
    </sheetView>
  </sheetViews>
  <sheetFormatPr defaultColWidth="0" defaultRowHeight="18" x14ac:dyDescent="0.3"/>
  <cols>
    <col min="1" max="1" width="14" style="3" customWidth="1"/>
    <col min="2" max="2" width="40.33203125" style="3" customWidth="1"/>
    <col min="3" max="3" width="34" style="3" customWidth="1"/>
    <col min="4" max="4" width="25.44140625" style="3" customWidth="1"/>
    <col min="5" max="5" width="23.88671875" style="3" customWidth="1"/>
    <col min="6" max="6" width="32.44140625" style="3" customWidth="1"/>
    <col min="7" max="7" width="27.44140625" style="12" customWidth="1"/>
    <col min="8" max="8" width="38.44140625" style="3" bestFit="1" customWidth="1"/>
    <col min="9" max="9" width="33" style="3" customWidth="1"/>
    <col min="10" max="11" width="27.33203125" style="32" customWidth="1"/>
    <col min="12" max="12" width="21.44140625" style="3" customWidth="1"/>
    <col min="13" max="13" width="26.5546875" style="3" customWidth="1"/>
    <col min="14" max="14" width="28.109375" style="12" customWidth="1"/>
    <col min="15" max="15" width="39.33203125" style="3" customWidth="1"/>
    <col min="16" max="16" width="24.6640625" style="32" customWidth="1"/>
    <col min="17" max="17" width="24.44140625" style="12" customWidth="1"/>
    <col min="18" max="18" width="23.44140625" style="3" customWidth="1"/>
    <col min="19" max="19" width="25.6640625" style="3" customWidth="1"/>
    <col min="20" max="20" width="26" style="3" customWidth="1"/>
    <col min="21" max="21" width="23.6640625" style="12" customWidth="1"/>
    <col min="22" max="22" width="24" style="11" customWidth="1"/>
    <col min="23" max="23" width="21.88671875" style="8" customWidth="1"/>
    <col min="24" max="16384" width="9.109375" style="8" hidden="1"/>
  </cols>
  <sheetData>
    <row r="1" spans="1:24" ht="18.600000000000001" thickBot="1" x14ac:dyDescent="0.35"/>
    <row r="2" spans="1:24" ht="39.9" customHeight="1" thickBot="1" x14ac:dyDescent="0.35">
      <c r="E2" s="86"/>
      <c r="F2" s="683" t="s">
        <v>24</v>
      </c>
      <c r="G2" s="684"/>
      <c r="H2" s="98">
        <f>SUM(H9:H9999)</f>
        <v>3472390.88</v>
      </c>
      <c r="I2" s="86"/>
      <c r="J2" s="39"/>
      <c r="N2" s="519" t="s">
        <v>137</v>
      </c>
      <c r="O2" s="521"/>
      <c r="P2" s="87">
        <f>SUM(P9:P9999)</f>
        <v>2334118.7500000005</v>
      </c>
      <c r="R2" s="86"/>
      <c r="S2" s="519" t="s">
        <v>45</v>
      </c>
      <c r="T2" s="520"/>
      <c r="U2" s="521"/>
      <c r="V2" s="88">
        <f>SUM(V9:V9999)</f>
        <v>645552.18000000005</v>
      </c>
    </row>
    <row r="3" spans="1:24" x14ac:dyDescent="0.3">
      <c r="F3" s="38"/>
      <c r="G3" s="38"/>
      <c r="H3" s="38"/>
      <c r="I3" s="38"/>
      <c r="J3" s="39"/>
      <c r="K3" s="40"/>
      <c r="L3" s="41"/>
      <c r="M3" s="41"/>
      <c r="N3" s="38"/>
      <c r="O3" s="38"/>
      <c r="P3" s="39"/>
      <c r="Q3" s="42"/>
      <c r="R3" s="38"/>
      <c r="S3" s="38"/>
      <c r="T3" s="38"/>
      <c r="U3" s="38"/>
      <c r="V3" s="43"/>
    </row>
    <row r="4" spans="1:24" ht="39.9" customHeight="1" x14ac:dyDescent="0.3">
      <c r="F4" s="38"/>
      <c r="G4" s="38"/>
      <c r="H4" s="38"/>
      <c r="I4" s="38"/>
      <c r="J4" s="39"/>
      <c r="K4" s="40"/>
      <c r="L4" s="41"/>
      <c r="M4" s="41"/>
      <c r="N4" s="38"/>
      <c r="O4" s="38"/>
      <c r="P4" s="39"/>
      <c r="Q4" s="42"/>
      <c r="R4" s="38"/>
      <c r="S4" s="38"/>
      <c r="T4" s="38"/>
      <c r="U4" s="38"/>
      <c r="V4" s="43"/>
    </row>
    <row r="6" spans="1:24" ht="144" x14ac:dyDescent="0.3">
      <c r="A6" s="23" t="s">
        <v>8</v>
      </c>
      <c r="B6" s="23" t="s">
        <v>47</v>
      </c>
      <c r="C6" s="23" t="s">
        <v>145</v>
      </c>
      <c r="D6" s="23" t="s">
        <v>10</v>
      </c>
      <c r="E6" s="23" t="s">
        <v>1</v>
      </c>
      <c r="F6" s="23" t="s">
        <v>2</v>
      </c>
      <c r="G6" s="30" t="s">
        <v>3</v>
      </c>
      <c r="H6" s="23" t="s">
        <v>4</v>
      </c>
      <c r="I6" s="23" t="s">
        <v>22</v>
      </c>
      <c r="J6" s="33" t="s">
        <v>46</v>
      </c>
      <c r="K6" s="33" t="s">
        <v>5</v>
      </c>
      <c r="L6" s="23" t="s">
        <v>106</v>
      </c>
      <c r="M6" s="23" t="s">
        <v>39</v>
      </c>
      <c r="N6" s="30" t="s">
        <v>37</v>
      </c>
      <c r="O6" s="23" t="s">
        <v>6</v>
      </c>
      <c r="P6" s="33" t="s">
        <v>23</v>
      </c>
      <c r="Q6" s="30" t="s">
        <v>9</v>
      </c>
      <c r="R6" s="28" t="s">
        <v>40</v>
      </c>
      <c r="S6" s="28" t="s">
        <v>103</v>
      </c>
      <c r="T6" s="28" t="s">
        <v>104</v>
      </c>
      <c r="U6" s="27" t="s">
        <v>41</v>
      </c>
      <c r="V6" s="31" t="s">
        <v>43</v>
      </c>
      <c r="W6" s="1" t="s">
        <v>42</v>
      </c>
    </row>
    <row r="7" spans="1:24" x14ac:dyDescent="0.3">
      <c r="A7" s="78" t="s">
        <v>36</v>
      </c>
      <c r="B7" s="78" t="s">
        <v>110</v>
      </c>
      <c r="C7" s="78" t="s">
        <v>111</v>
      </c>
      <c r="D7" s="78" t="s">
        <v>112</v>
      </c>
      <c r="E7" s="78" t="s">
        <v>113</v>
      </c>
      <c r="F7" s="78" t="s">
        <v>114</v>
      </c>
      <c r="G7" s="78" t="s">
        <v>115</v>
      </c>
      <c r="H7" s="78" t="s">
        <v>116</v>
      </c>
      <c r="I7" s="78" t="s">
        <v>117</v>
      </c>
      <c r="J7" s="78" t="s">
        <v>118</v>
      </c>
      <c r="K7" s="78" t="s">
        <v>119</v>
      </c>
      <c r="L7" s="78" t="s">
        <v>120</v>
      </c>
      <c r="M7" s="78" t="s">
        <v>121</v>
      </c>
      <c r="N7" s="78" t="s">
        <v>122</v>
      </c>
      <c r="O7" s="78" t="s">
        <v>123</v>
      </c>
      <c r="P7" s="78" t="s">
        <v>124</v>
      </c>
      <c r="Q7" s="78" t="s">
        <v>125</v>
      </c>
      <c r="R7" s="78" t="s">
        <v>126</v>
      </c>
      <c r="S7" s="78" t="s">
        <v>127</v>
      </c>
      <c r="T7" s="78" t="s">
        <v>128</v>
      </c>
      <c r="U7" s="78" t="s">
        <v>129</v>
      </c>
      <c r="V7" s="78" t="s">
        <v>130</v>
      </c>
      <c r="W7" s="78" t="s">
        <v>131</v>
      </c>
    </row>
    <row r="8" spans="1:24" s="18" customFormat="1" ht="108" x14ac:dyDescent="0.3">
      <c r="A8" s="26" t="s">
        <v>36</v>
      </c>
      <c r="B8" s="26" t="s">
        <v>56</v>
      </c>
      <c r="C8" s="26"/>
      <c r="D8" s="26" t="s">
        <v>58</v>
      </c>
      <c r="E8" s="26" t="s">
        <v>57</v>
      </c>
      <c r="F8" s="77">
        <v>43839</v>
      </c>
      <c r="G8" s="25" t="s">
        <v>59</v>
      </c>
      <c r="H8" s="24">
        <v>20000</v>
      </c>
      <c r="I8" s="24">
        <v>0</v>
      </c>
      <c r="J8" s="76">
        <v>2353019514</v>
      </c>
      <c r="K8" s="34" t="s">
        <v>61</v>
      </c>
      <c r="L8" s="26"/>
      <c r="M8" s="26" t="s">
        <v>62</v>
      </c>
      <c r="N8" s="25">
        <v>43840</v>
      </c>
      <c r="O8" s="26" t="s">
        <v>63</v>
      </c>
      <c r="P8" s="34">
        <v>20000</v>
      </c>
      <c r="Q8" s="25">
        <v>43840</v>
      </c>
      <c r="R8" s="26"/>
      <c r="S8" s="72"/>
      <c r="T8" s="72"/>
      <c r="U8" s="25"/>
      <c r="V8" s="24"/>
      <c r="W8" s="13" t="s">
        <v>64</v>
      </c>
    </row>
    <row r="9" spans="1:24" s="108" customFormat="1" ht="131.25" customHeight="1" x14ac:dyDescent="0.3">
      <c r="A9" s="549">
        <v>1</v>
      </c>
      <c r="B9" s="555" t="s">
        <v>56</v>
      </c>
      <c r="C9" s="555" t="s">
        <v>179</v>
      </c>
      <c r="D9" s="555" t="s">
        <v>147</v>
      </c>
      <c r="E9" s="555" t="s">
        <v>36</v>
      </c>
      <c r="F9" s="551">
        <v>44921</v>
      </c>
      <c r="G9" s="621" t="s">
        <v>180</v>
      </c>
      <c r="H9" s="553">
        <v>494000</v>
      </c>
      <c r="I9" s="563">
        <f>IF(X9 = 18, H9 + SUM(S9:S11) - SUM(T9:T11) - SUM(P9:P11) - V9,0)</f>
        <v>-2.9103830456733704E-11</v>
      </c>
      <c r="J9" s="626">
        <v>2310195709</v>
      </c>
      <c r="K9" s="629" t="s">
        <v>170</v>
      </c>
      <c r="L9" s="555" t="s">
        <v>146</v>
      </c>
      <c r="M9" s="555" t="s">
        <v>183</v>
      </c>
      <c r="N9" s="197">
        <v>44957</v>
      </c>
      <c r="O9" s="551" t="s">
        <v>181</v>
      </c>
      <c r="P9" s="188">
        <v>92510.53</v>
      </c>
      <c r="Q9" s="189">
        <v>44965</v>
      </c>
      <c r="R9" s="190"/>
      <c r="S9" s="188"/>
      <c r="T9" s="188"/>
      <c r="U9" s="553"/>
      <c r="V9" s="649">
        <v>219413.42</v>
      </c>
      <c r="W9" s="559"/>
      <c r="X9" s="108">
        <v>18</v>
      </c>
    </row>
    <row r="10" spans="1:24" s="2" customFormat="1" x14ac:dyDescent="0.3">
      <c r="A10" s="647"/>
      <c r="B10" s="648"/>
      <c r="C10" s="648"/>
      <c r="D10" s="648"/>
      <c r="E10" s="648"/>
      <c r="F10" s="620"/>
      <c r="G10" s="622"/>
      <c r="H10" s="624"/>
      <c r="I10" s="625"/>
      <c r="J10" s="627"/>
      <c r="K10" s="630"/>
      <c r="L10" s="648"/>
      <c r="M10" s="648"/>
      <c r="N10" s="198">
        <v>44985</v>
      </c>
      <c r="O10" s="620"/>
      <c r="P10" s="191">
        <v>81376.05</v>
      </c>
      <c r="Q10" s="192">
        <v>44995</v>
      </c>
      <c r="R10" s="193"/>
      <c r="S10" s="191"/>
      <c r="T10" s="191"/>
      <c r="U10" s="624"/>
      <c r="V10" s="650"/>
      <c r="W10" s="642"/>
      <c r="X10" s="2">
        <v>18</v>
      </c>
    </row>
    <row r="11" spans="1:24" s="2" customFormat="1" x14ac:dyDescent="0.3">
      <c r="A11" s="550"/>
      <c r="B11" s="556"/>
      <c r="C11" s="556"/>
      <c r="D11" s="556"/>
      <c r="E11" s="556"/>
      <c r="F11" s="552"/>
      <c r="G11" s="623"/>
      <c r="H11" s="554"/>
      <c r="I11" s="564"/>
      <c r="J11" s="628"/>
      <c r="K11" s="631"/>
      <c r="L11" s="556"/>
      <c r="M11" s="556"/>
      <c r="N11" s="199">
        <v>45016</v>
      </c>
      <c r="O11" s="552"/>
      <c r="P11" s="194">
        <v>100700</v>
      </c>
      <c r="Q11" s="195">
        <v>45028</v>
      </c>
      <c r="R11" s="196"/>
      <c r="S11" s="194"/>
      <c r="T11" s="194"/>
      <c r="U11" s="554"/>
      <c r="V11" s="651"/>
      <c r="W11" s="560"/>
      <c r="X11" s="2">
        <v>18</v>
      </c>
    </row>
    <row r="12" spans="1:24" s="108" customFormat="1" ht="37.5" customHeight="1" x14ac:dyDescent="0.3">
      <c r="A12" s="449">
        <v>2</v>
      </c>
      <c r="B12" s="440" t="s">
        <v>56</v>
      </c>
      <c r="C12" s="440" t="s">
        <v>146</v>
      </c>
      <c r="D12" s="440" t="s">
        <v>147</v>
      </c>
      <c r="E12" s="440" t="s">
        <v>119</v>
      </c>
      <c r="F12" s="437">
        <v>44925</v>
      </c>
      <c r="G12" s="461" t="s">
        <v>182</v>
      </c>
      <c r="H12" s="443">
        <v>30439.68</v>
      </c>
      <c r="I12" s="446">
        <f>IF(X12 = 19, H12 + SUM(S12:S21) - SUM(T12:T21) - SUM(P12:P21) - V12,0)</f>
        <v>5003.1500000000015</v>
      </c>
      <c r="J12" s="605">
        <v>2353246210</v>
      </c>
      <c r="K12" s="608" t="s">
        <v>151</v>
      </c>
      <c r="L12" s="440" t="s">
        <v>146</v>
      </c>
      <c r="M12" s="440"/>
      <c r="N12" s="375">
        <v>44943</v>
      </c>
      <c r="O12" s="437" t="s">
        <v>184</v>
      </c>
      <c r="P12" s="366">
        <v>4402.93</v>
      </c>
      <c r="Q12" s="367">
        <v>44963</v>
      </c>
      <c r="R12" s="368"/>
      <c r="S12" s="366"/>
      <c r="T12" s="366"/>
      <c r="U12" s="443"/>
      <c r="V12" s="611"/>
      <c r="W12" s="455"/>
      <c r="X12" s="108">
        <v>19</v>
      </c>
    </row>
    <row r="13" spans="1:24" s="2" customFormat="1" x14ac:dyDescent="0.3">
      <c r="A13" s="450"/>
      <c r="B13" s="441"/>
      <c r="C13" s="441"/>
      <c r="D13" s="441"/>
      <c r="E13" s="441"/>
      <c r="F13" s="438"/>
      <c r="G13" s="462"/>
      <c r="H13" s="444"/>
      <c r="I13" s="447"/>
      <c r="J13" s="606"/>
      <c r="K13" s="609"/>
      <c r="L13" s="441"/>
      <c r="M13" s="441"/>
      <c r="N13" s="376">
        <v>44972</v>
      </c>
      <c r="O13" s="438"/>
      <c r="P13" s="369">
        <v>2967.24</v>
      </c>
      <c r="Q13" s="370">
        <v>45005</v>
      </c>
      <c r="R13" s="371"/>
      <c r="S13" s="369"/>
      <c r="T13" s="369"/>
      <c r="U13" s="444"/>
      <c r="V13" s="612"/>
      <c r="W13" s="456"/>
      <c r="X13" s="2">
        <v>19</v>
      </c>
    </row>
    <row r="14" spans="1:24" s="2" customFormat="1" x14ac:dyDescent="0.3">
      <c r="A14" s="450"/>
      <c r="B14" s="441"/>
      <c r="C14" s="441"/>
      <c r="D14" s="441"/>
      <c r="E14" s="441"/>
      <c r="F14" s="438"/>
      <c r="G14" s="462"/>
      <c r="H14" s="444"/>
      <c r="I14" s="447"/>
      <c r="J14" s="606"/>
      <c r="K14" s="609"/>
      <c r="L14" s="441"/>
      <c r="M14" s="441"/>
      <c r="N14" s="376">
        <v>44999</v>
      </c>
      <c r="O14" s="438"/>
      <c r="P14" s="369">
        <v>2028.24</v>
      </c>
      <c r="Q14" s="370">
        <v>45005</v>
      </c>
      <c r="R14" s="371"/>
      <c r="S14" s="369"/>
      <c r="T14" s="369"/>
      <c r="U14" s="444"/>
      <c r="V14" s="612"/>
      <c r="W14" s="456"/>
      <c r="X14" s="2">
        <v>19</v>
      </c>
    </row>
    <row r="15" spans="1:24" s="2" customFormat="1" x14ac:dyDescent="0.3">
      <c r="A15" s="450"/>
      <c r="B15" s="441"/>
      <c r="C15" s="441"/>
      <c r="D15" s="441"/>
      <c r="E15" s="441"/>
      <c r="F15" s="438"/>
      <c r="G15" s="462"/>
      <c r="H15" s="444"/>
      <c r="I15" s="447"/>
      <c r="J15" s="606"/>
      <c r="K15" s="609"/>
      <c r="L15" s="441"/>
      <c r="M15" s="441"/>
      <c r="N15" s="376">
        <v>45035</v>
      </c>
      <c r="O15" s="438"/>
      <c r="P15" s="369">
        <v>2554.08</v>
      </c>
      <c r="Q15" s="370">
        <v>45051</v>
      </c>
      <c r="R15" s="371"/>
      <c r="S15" s="369"/>
      <c r="T15" s="369"/>
      <c r="U15" s="444"/>
      <c r="V15" s="612"/>
      <c r="W15" s="456"/>
      <c r="X15" s="2">
        <v>19</v>
      </c>
    </row>
    <row r="16" spans="1:24" s="2" customFormat="1" x14ac:dyDescent="0.3">
      <c r="A16" s="450"/>
      <c r="B16" s="441"/>
      <c r="C16" s="441"/>
      <c r="D16" s="441"/>
      <c r="E16" s="441"/>
      <c r="F16" s="438"/>
      <c r="G16" s="462"/>
      <c r="H16" s="444"/>
      <c r="I16" s="447"/>
      <c r="J16" s="606"/>
      <c r="K16" s="609"/>
      <c r="L16" s="441"/>
      <c r="M16" s="441"/>
      <c r="N16" s="376">
        <v>45062</v>
      </c>
      <c r="O16" s="438"/>
      <c r="P16" s="369">
        <v>2854.56</v>
      </c>
      <c r="Q16" s="370">
        <v>45070</v>
      </c>
      <c r="R16" s="371"/>
      <c r="S16" s="369"/>
      <c r="T16" s="369"/>
      <c r="U16" s="444"/>
      <c r="V16" s="612"/>
      <c r="W16" s="456"/>
      <c r="X16" s="2">
        <v>19</v>
      </c>
    </row>
    <row r="17" spans="1:24" s="2" customFormat="1" x14ac:dyDescent="0.3">
      <c r="A17" s="450"/>
      <c r="B17" s="441"/>
      <c r="C17" s="441"/>
      <c r="D17" s="441"/>
      <c r="E17" s="441"/>
      <c r="F17" s="438"/>
      <c r="G17" s="462"/>
      <c r="H17" s="444"/>
      <c r="I17" s="447"/>
      <c r="J17" s="606"/>
      <c r="K17" s="609"/>
      <c r="L17" s="441"/>
      <c r="M17" s="441"/>
      <c r="N17" s="376">
        <v>45092</v>
      </c>
      <c r="O17" s="438"/>
      <c r="P17" s="369">
        <v>2216.04</v>
      </c>
      <c r="Q17" s="370">
        <v>45106</v>
      </c>
      <c r="R17" s="371"/>
      <c r="S17" s="369"/>
      <c r="T17" s="369"/>
      <c r="U17" s="444"/>
      <c r="V17" s="612"/>
      <c r="W17" s="456"/>
      <c r="X17" s="2">
        <v>19</v>
      </c>
    </row>
    <row r="18" spans="1:24" s="2" customFormat="1" x14ac:dyDescent="0.3">
      <c r="A18" s="450"/>
      <c r="B18" s="441"/>
      <c r="C18" s="441"/>
      <c r="D18" s="441"/>
      <c r="E18" s="441"/>
      <c r="F18" s="438"/>
      <c r="G18" s="462"/>
      <c r="H18" s="444"/>
      <c r="I18" s="447"/>
      <c r="J18" s="606"/>
      <c r="K18" s="609"/>
      <c r="L18" s="441"/>
      <c r="M18" s="441"/>
      <c r="N18" s="376">
        <v>45124</v>
      </c>
      <c r="O18" s="438"/>
      <c r="P18" s="369">
        <v>2817</v>
      </c>
      <c r="Q18" s="370">
        <v>45132</v>
      </c>
      <c r="R18" s="371"/>
      <c r="S18" s="369"/>
      <c r="T18" s="369"/>
      <c r="U18" s="444"/>
      <c r="V18" s="612"/>
      <c r="W18" s="456"/>
      <c r="X18" s="2">
        <v>19</v>
      </c>
    </row>
    <row r="19" spans="1:24" s="2" customFormat="1" x14ac:dyDescent="0.3">
      <c r="A19" s="450"/>
      <c r="B19" s="441"/>
      <c r="C19" s="441"/>
      <c r="D19" s="441"/>
      <c r="E19" s="441"/>
      <c r="F19" s="438"/>
      <c r="G19" s="462"/>
      <c r="H19" s="444"/>
      <c r="I19" s="447"/>
      <c r="J19" s="606"/>
      <c r="K19" s="609"/>
      <c r="L19" s="441"/>
      <c r="M19" s="441"/>
      <c r="N19" s="376">
        <v>45156</v>
      </c>
      <c r="O19" s="438"/>
      <c r="P19" s="369">
        <v>1314.6</v>
      </c>
      <c r="Q19" s="370">
        <v>45168</v>
      </c>
      <c r="R19" s="371"/>
      <c r="S19" s="369"/>
      <c r="T19" s="369"/>
      <c r="U19" s="444"/>
      <c r="V19" s="612"/>
      <c r="W19" s="456"/>
      <c r="X19" s="2">
        <v>19</v>
      </c>
    </row>
    <row r="20" spans="1:24" s="2" customFormat="1" x14ac:dyDescent="0.3">
      <c r="A20" s="450"/>
      <c r="B20" s="441"/>
      <c r="C20" s="441"/>
      <c r="D20" s="441"/>
      <c r="E20" s="441"/>
      <c r="F20" s="438"/>
      <c r="G20" s="462"/>
      <c r="H20" s="444"/>
      <c r="I20" s="447"/>
      <c r="J20" s="606"/>
      <c r="K20" s="609"/>
      <c r="L20" s="441"/>
      <c r="M20" s="441"/>
      <c r="N20" s="376">
        <v>45187</v>
      </c>
      <c r="O20" s="438"/>
      <c r="P20" s="369">
        <v>2028.24</v>
      </c>
      <c r="Q20" s="370">
        <v>45189</v>
      </c>
      <c r="R20" s="371"/>
      <c r="S20" s="369"/>
      <c r="T20" s="369"/>
      <c r="U20" s="444"/>
      <c r="V20" s="612"/>
      <c r="W20" s="456"/>
      <c r="X20" s="2">
        <v>19</v>
      </c>
    </row>
    <row r="21" spans="1:24" s="2" customFormat="1" x14ac:dyDescent="0.3">
      <c r="A21" s="451"/>
      <c r="B21" s="442"/>
      <c r="C21" s="442"/>
      <c r="D21" s="442"/>
      <c r="E21" s="442"/>
      <c r="F21" s="439"/>
      <c r="G21" s="463"/>
      <c r="H21" s="445"/>
      <c r="I21" s="448"/>
      <c r="J21" s="607"/>
      <c r="K21" s="610"/>
      <c r="L21" s="442"/>
      <c r="M21" s="442"/>
      <c r="N21" s="377">
        <v>45245</v>
      </c>
      <c r="O21" s="439"/>
      <c r="P21" s="372">
        <v>2253.6</v>
      </c>
      <c r="Q21" s="373">
        <v>45247</v>
      </c>
      <c r="R21" s="374"/>
      <c r="S21" s="372"/>
      <c r="T21" s="372"/>
      <c r="U21" s="445"/>
      <c r="V21" s="613"/>
      <c r="W21" s="457"/>
      <c r="X21" s="2">
        <v>19</v>
      </c>
    </row>
    <row r="22" spans="1:24" s="108" customFormat="1" ht="37.5" customHeight="1" x14ac:dyDescent="0.3">
      <c r="A22" s="449">
        <v>3</v>
      </c>
      <c r="B22" s="440" t="s">
        <v>56</v>
      </c>
      <c r="C22" s="440" t="s">
        <v>146</v>
      </c>
      <c r="D22" s="440" t="s">
        <v>188</v>
      </c>
      <c r="E22" s="440" t="s">
        <v>190</v>
      </c>
      <c r="F22" s="437">
        <v>44925</v>
      </c>
      <c r="G22" s="461" t="s">
        <v>185</v>
      </c>
      <c r="H22" s="443">
        <v>524515.96</v>
      </c>
      <c r="I22" s="446">
        <f>IF(X22 = 20, H22 + SUM(S22:S46) - SUM(T22:T46) - SUM(P22:P46) - V22,0)</f>
        <v>155398.96999999997</v>
      </c>
      <c r="J22" s="605">
        <v>2308119595</v>
      </c>
      <c r="K22" s="608" t="s">
        <v>150</v>
      </c>
      <c r="L22" s="440" t="s">
        <v>146</v>
      </c>
      <c r="M22" s="440"/>
      <c r="N22" s="375">
        <v>44957</v>
      </c>
      <c r="O22" s="437" t="s">
        <v>186</v>
      </c>
      <c r="P22" s="366">
        <v>9810.7000000000007</v>
      </c>
      <c r="Q22" s="367">
        <v>44974</v>
      </c>
      <c r="R22" s="368"/>
      <c r="S22" s="366"/>
      <c r="T22" s="366"/>
      <c r="U22" s="443"/>
      <c r="V22" s="611"/>
      <c r="W22" s="455"/>
      <c r="X22" s="108">
        <v>20</v>
      </c>
    </row>
    <row r="23" spans="1:24" s="2" customFormat="1" x14ac:dyDescent="0.3">
      <c r="A23" s="450"/>
      <c r="B23" s="441"/>
      <c r="C23" s="441"/>
      <c r="D23" s="441"/>
      <c r="E23" s="441"/>
      <c r="F23" s="438"/>
      <c r="G23" s="462"/>
      <c r="H23" s="444"/>
      <c r="I23" s="447"/>
      <c r="J23" s="606"/>
      <c r="K23" s="609"/>
      <c r="L23" s="441"/>
      <c r="M23" s="441"/>
      <c r="N23" s="376">
        <v>44958</v>
      </c>
      <c r="O23" s="438"/>
      <c r="P23" s="369">
        <v>21883.97</v>
      </c>
      <c r="Q23" s="370">
        <v>44974</v>
      </c>
      <c r="R23" s="371"/>
      <c r="S23" s="369"/>
      <c r="T23" s="369"/>
      <c r="U23" s="444"/>
      <c r="V23" s="612"/>
      <c r="W23" s="456"/>
      <c r="X23" s="2">
        <v>20</v>
      </c>
    </row>
    <row r="24" spans="1:24" s="2" customFormat="1" x14ac:dyDescent="0.3">
      <c r="A24" s="450"/>
      <c r="B24" s="441"/>
      <c r="C24" s="441"/>
      <c r="D24" s="441"/>
      <c r="E24" s="441"/>
      <c r="F24" s="438"/>
      <c r="G24" s="462"/>
      <c r="H24" s="444"/>
      <c r="I24" s="447"/>
      <c r="J24" s="606"/>
      <c r="K24" s="609"/>
      <c r="L24" s="441"/>
      <c r="M24" s="441"/>
      <c r="N24" s="376">
        <v>44986</v>
      </c>
      <c r="O24" s="438"/>
      <c r="P24" s="369">
        <v>16412.98</v>
      </c>
      <c r="Q24" s="370">
        <v>44988</v>
      </c>
      <c r="R24" s="371"/>
      <c r="S24" s="369"/>
      <c r="T24" s="369"/>
      <c r="U24" s="444"/>
      <c r="V24" s="612"/>
      <c r="W24" s="456"/>
      <c r="X24" s="2">
        <v>20</v>
      </c>
    </row>
    <row r="25" spans="1:24" s="2" customFormat="1" x14ac:dyDescent="0.3">
      <c r="A25" s="450"/>
      <c r="B25" s="441"/>
      <c r="C25" s="441"/>
      <c r="D25" s="441"/>
      <c r="E25" s="441"/>
      <c r="F25" s="438"/>
      <c r="G25" s="462"/>
      <c r="H25" s="444"/>
      <c r="I25" s="447"/>
      <c r="J25" s="606"/>
      <c r="K25" s="609"/>
      <c r="L25" s="441"/>
      <c r="M25" s="441"/>
      <c r="N25" s="376">
        <v>45001</v>
      </c>
      <c r="O25" s="438"/>
      <c r="P25" s="369">
        <v>16486.419999999998</v>
      </c>
      <c r="Q25" s="370">
        <v>45001</v>
      </c>
      <c r="R25" s="371"/>
      <c r="S25" s="369"/>
      <c r="T25" s="369"/>
      <c r="U25" s="444"/>
      <c r="V25" s="612"/>
      <c r="W25" s="456"/>
      <c r="X25" s="2">
        <v>20</v>
      </c>
    </row>
    <row r="26" spans="1:24" s="2" customFormat="1" x14ac:dyDescent="0.3">
      <c r="A26" s="450"/>
      <c r="B26" s="441"/>
      <c r="C26" s="441"/>
      <c r="D26" s="441"/>
      <c r="E26" s="441"/>
      <c r="F26" s="438"/>
      <c r="G26" s="462"/>
      <c r="H26" s="444"/>
      <c r="I26" s="447"/>
      <c r="J26" s="606"/>
      <c r="K26" s="609"/>
      <c r="L26" s="441"/>
      <c r="M26" s="441"/>
      <c r="N26" s="376">
        <v>45001</v>
      </c>
      <c r="O26" s="438"/>
      <c r="P26" s="369">
        <v>21890.9</v>
      </c>
      <c r="Q26" s="370">
        <v>45001</v>
      </c>
      <c r="R26" s="371"/>
      <c r="S26" s="369"/>
      <c r="T26" s="369"/>
      <c r="U26" s="444"/>
      <c r="V26" s="612"/>
      <c r="W26" s="456"/>
      <c r="X26" s="2">
        <v>20</v>
      </c>
    </row>
    <row r="27" spans="1:24" s="2" customFormat="1" x14ac:dyDescent="0.3">
      <c r="A27" s="450"/>
      <c r="B27" s="441"/>
      <c r="C27" s="441"/>
      <c r="D27" s="441"/>
      <c r="E27" s="441"/>
      <c r="F27" s="438"/>
      <c r="G27" s="462"/>
      <c r="H27" s="444"/>
      <c r="I27" s="447"/>
      <c r="J27" s="606"/>
      <c r="K27" s="609"/>
      <c r="L27" s="441"/>
      <c r="M27" s="441"/>
      <c r="N27" s="376">
        <v>45017</v>
      </c>
      <c r="O27" s="438"/>
      <c r="P27" s="369">
        <v>16418.169999999998</v>
      </c>
      <c r="Q27" s="370">
        <v>45022</v>
      </c>
      <c r="R27" s="371"/>
      <c r="S27" s="369"/>
      <c r="T27" s="369"/>
      <c r="U27" s="444"/>
      <c r="V27" s="612"/>
      <c r="W27" s="456"/>
      <c r="X27" s="2">
        <v>20</v>
      </c>
    </row>
    <row r="28" spans="1:24" s="2" customFormat="1" x14ac:dyDescent="0.3">
      <c r="A28" s="450"/>
      <c r="B28" s="441"/>
      <c r="C28" s="441"/>
      <c r="D28" s="441"/>
      <c r="E28" s="441"/>
      <c r="F28" s="438"/>
      <c r="G28" s="462"/>
      <c r="H28" s="444"/>
      <c r="I28" s="447"/>
      <c r="J28" s="606"/>
      <c r="K28" s="609"/>
      <c r="L28" s="441"/>
      <c r="M28" s="441"/>
      <c r="N28" s="376">
        <v>45016</v>
      </c>
      <c r="O28" s="438"/>
      <c r="P28" s="369">
        <v>13697.32</v>
      </c>
      <c r="Q28" s="370">
        <v>45030</v>
      </c>
      <c r="R28" s="371"/>
      <c r="S28" s="369"/>
      <c r="T28" s="369"/>
      <c r="U28" s="444"/>
      <c r="V28" s="612"/>
      <c r="W28" s="456"/>
      <c r="X28" s="2">
        <v>20</v>
      </c>
    </row>
    <row r="29" spans="1:24" s="2" customFormat="1" x14ac:dyDescent="0.3">
      <c r="A29" s="450"/>
      <c r="B29" s="441"/>
      <c r="C29" s="441"/>
      <c r="D29" s="441"/>
      <c r="E29" s="441"/>
      <c r="F29" s="438"/>
      <c r="G29" s="462"/>
      <c r="H29" s="444"/>
      <c r="I29" s="447"/>
      <c r="J29" s="606"/>
      <c r="K29" s="609"/>
      <c r="L29" s="441"/>
      <c r="M29" s="441"/>
      <c r="N29" s="376">
        <v>45017</v>
      </c>
      <c r="O29" s="438"/>
      <c r="P29" s="369">
        <v>20800.48</v>
      </c>
      <c r="Q29" s="370">
        <v>45033</v>
      </c>
      <c r="R29" s="371"/>
      <c r="S29" s="369"/>
      <c r="T29" s="369"/>
      <c r="U29" s="444"/>
      <c r="V29" s="612"/>
      <c r="W29" s="456"/>
      <c r="X29" s="2">
        <v>20</v>
      </c>
    </row>
    <row r="30" spans="1:24" s="2" customFormat="1" x14ac:dyDescent="0.3">
      <c r="A30" s="450"/>
      <c r="B30" s="441"/>
      <c r="C30" s="441"/>
      <c r="D30" s="441"/>
      <c r="E30" s="441"/>
      <c r="F30" s="438"/>
      <c r="G30" s="462"/>
      <c r="H30" s="444"/>
      <c r="I30" s="447"/>
      <c r="J30" s="606"/>
      <c r="K30" s="609"/>
      <c r="L30" s="441"/>
      <c r="M30" s="441"/>
      <c r="N30" s="376">
        <v>45047</v>
      </c>
      <c r="O30" s="438"/>
      <c r="P30" s="369">
        <v>15600.36</v>
      </c>
      <c r="Q30" s="370">
        <v>45049</v>
      </c>
      <c r="R30" s="371"/>
      <c r="S30" s="369"/>
      <c r="T30" s="369"/>
      <c r="U30" s="444"/>
      <c r="V30" s="612"/>
      <c r="W30" s="456"/>
      <c r="X30" s="2">
        <v>20</v>
      </c>
    </row>
    <row r="31" spans="1:24" s="2" customFormat="1" x14ac:dyDescent="0.3">
      <c r="A31" s="450"/>
      <c r="B31" s="441"/>
      <c r="C31" s="441"/>
      <c r="D31" s="441"/>
      <c r="E31" s="441"/>
      <c r="F31" s="438"/>
      <c r="G31" s="462"/>
      <c r="H31" s="444"/>
      <c r="I31" s="447"/>
      <c r="J31" s="606"/>
      <c r="K31" s="609"/>
      <c r="L31" s="441"/>
      <c r="M31" s="441"/>
      <c r="N31" s="376">
        <v>45046</v>
      </c>
      <c r="O31" s="438"/>
      <c r="P31" s="369">
        <v>13871.16</v>
      </c>
      <c r="Q31" s="370">
        <v>45064</v>
      </c>
      <c r="R31" s="371"/>
      <c r="S31" s="369"/>
      <c r="T31" s="369"/>
      <c r="U31" s="444"/>
      <c r="V31" s="612"/>
      <c r="W31" s="456"/>
      <c r="X31" s="2">
        <v>20</v>
      </c>
    </row>
    <row r="32" spans="1:24" s="2" customFormat="1" x14ac:dyDescent="0.3">
      <c r="A32" s="450"/>
      <c r="B32" s="441"/>
      <c r="C32" s="441"/>
      <c r="D32" s="441"/>
      <c r="E32" s="441"/>
      <c r="F32" s="438"/>
      <c r="G32" s="462"/>
      <c r="H32" s="444"/>
      <c r="I32" s="447"/>
      <c r="J32" s="606"/>
      <c r="K32" s="609"/>
      <c r="L32" s="441"/>
      <c r="M32" s="441"/>
      <c r="N32" s="376">
        <v>45047</v>
      </c>
      <c r="O32" s="438"/>
      <c r="P32" s="369">
        <v>22497.05</v>
      </c>
      <c r="Q32" s="370">
        <v>45064</v>
      </c>
      <c r="R32" s="371"/>
      <c r="S32" s="369"/>
      <c r="T32" s="369"/>
      <c r="U32" s="444"/>
      <c r="V32" s="612"/>
      <c r="W32" s="456"/>
      <c r="X32" s="2">
        <v>20</v>
      </c>
    </row>
    <row r="33" spans="1:24" s="2" customFormat="1" x14ac:dyDescent="0.3">
      <c r="A33" s="450"/>
      <c r="B33" s="441"/>
      <c r="C33" s="441"/>
      <c r="D33" s="441"/>
      <c r="E33" s="441"/>
      <c r="F33" s="438"/>
      <c r="G33" s="462"/>
      <c r="H33" s="444"/>
      <c r="I33" s="447"/>
      <c r="J33" s="606"/>
      <c r="K33" s="609"/>
      <c r="L33" s="441"/>
      <c r="M33" s="441"/>
      <c r="N33" s="376">
        <v>45078</v>
      </c>
      <c r="O33" s="438"/>
      <c r="P33" s="369">
        <v>16872.78</v>
      </c>
      <c r="Q33" s="370">
        <v>45083</v>
      </c>
      <c r="R33" s="371"/>
      <c r="S33" s="369"/>
      <c r="T33" s="369"/>
      <c r="U33" s="444"/>
      <c r="V33" s="612"/>
      <c r="W33" s="456"/>
      <c r="X33" s="2">
        <v>20</v>
      </c>
    </row>
    <row r="34" spans="1:24" s="2" customFormat="1" x14ac:dyDescent="0.3">
      <c r="A34" s="450"/>
      <c r="B34" s="441"/>
      <c r="C34" s="441"/>
      <c r="D34" s="441"/>
      <c r="E34" s="441"/>
      <c r="F34" s="438"/>
      <c r="G34" s="462"/>
      <c r="H34" s="444"/>
      <c r="I34" s="447"/>
      <c r="J34" s="606"/>
      <c r="K34" s="609"/>
      <c r="L34" s="441"/>
      <c r="M34" s="441"/>
      <c r="N34" s="376">
        <v>45078</v>
      </c>
      <c r="O34" s="438"/>
      <c r="P34" s="369">
        <v>12985.61</v>
      </c>
      <c r="Q34" s="370">
        <v>45093</v>
      </c>
      <c r="R34" s="371"/>
      <c r="S34" s="369"/>
      <c r="T34" s="369"/>
      <c r="U34" s="444"/>
      <c r="V34" s="612"/>
      <c r="W34" s="456"/>
      <c r="X34" s="2">
        <v>20</v>
      </c>
    </row>
    <row r="35" spans="1:24" s="2" customFormat="1" x14ac:dyDescent="0.3">
      <c r="A35" s="450"/>
      <c r="B35" s="441"/>
      <c r="C35" s="441"/>
      <c r="D35" s="441"/>
      <c r="E35" s="441"/>
      <c r="F35" s="438"/>
      <c r="G35" s="462"/>
      <c r="H35" s="444"/>
      <c r="I35" s="447"/>
      <c r="J35" s="606"/>
      <c r="K35" s="609"/>
      <c r="L35" s="441"/>
      <c r="M35" s="441"/>
      <c r="N35" s="376">
        <v>45108</v>
      </c>
      <c r="O35" s="438"/>
      <c r="P35" s="369">
        <v>9739.2000000000007</v>
      </c>
      <c r="Q35" s="370">
        <v>45110</v>
      </c>
      <c r="R35" s="371"/>
      <c r="S35" s="369"/>
      <c r="T35" s="369"/>
      <c r="U35" s="444"/>
      <c r="V35" s="612"/>
      <c r="W35" s="456"/>
      <c r="X35" s="2">
        <v>20</v>
      </c>
    </row>
    <row r="36" spans="1:24" s="2" customFormat="1" x14ac:dyDescent="0.3">
      <c r="A36" s="450"/>
      <c r="B36" s="441"/>
      <c r="C36" s="441"/>
      <c r="D36" s="441"/>
      <c r="E36" s="441"/>
      <c r="F36" s="438"/>
      <c r="G36" s="462"/>
      <c r="H36" s="444"/>
      <c r="I36" s="447"/>
      <c r="J36" s="606"/>
      <c r="K36" s="609"/>
      <c r="L36" s="441"/>
      <c r="M36" s="441"/>
      <c r="N36" s="376">
        <v>45108</v>
      </c>
      <c r="O36" s="438"/>
      <c r="P36" s="369">
        <v>8765.93</v>
      </c>
      <c r="Q36" s="370">
        <v>45125</v>
      </c>
      <c r="R36" s="371"/>
      <c r="S36" s="369"/>
      <c r="T36" s="369"/>
      <c r="U36" s="444"/>
      <c r="V36" s="612"/>
      <c r="W36" s="456"/>
      <c r="X36" s="2">
        <v>20</v>
      </c>
    </row>
    <row r="37" spans="1:24" s="2" customFormat="1" x14ac:dyDescent="0.3">
      <c r="A37" s="450"/>
      <c r="B37" s="441"/>
      <c r="C37" s="441"/>
      <c r="D37" s="441"/>
      <c r="E37" s="441"/>
      <c r="F37" s="438"/>
      <c r="G37" s="462"/>
      <c r="H37" s="444"/>
      <c r="I37" s="447"/>
      <c r="J37" s="606"/>
      <c r="K37" s="609"/>
      <c r="L37" s="441"/>
      <c r="M37" s="441"/>
      <c r="N37" s="376">
        <v>45139</v>
      </c>
      <c r="O37" s="438"/>
      <c r="P37" s="369">
        <v>6574.45</v>
      </c>
      <c r="Q37" s="370">
        <v>45139</v>
      </c>
      <c r="R37" s="371"/>
      <c r="S37" s="369"/>
      <c r="T37" s="369"/>
      <c r="U37" s="444"/>
      <c r="V37" s="612"/>
      <c r="W37" s="456"/>
      <c r="X37" s="2">
        <v>20</v>
      </c>
    </row>
    <row r="38" spans="1:24" s="2" customFormat="1" x14ac:dyDescent="0.3">
      <c r="A38" s="450"/>
      <c r="B38" s="441"/>
      <c r="C38" s="441"/>
      <c r="D38" s="441"/>
      <c r="E38" s="441"/>
      <c r="F38" s="438"/>
      <c r="G38" s="462"/>
      <c r="H38" s="444"/>
      <c r="I38" s="447"/>
      <c r="J38" s="606"/>
      <c r="K38" s="609"/>
      <c r="L38" s="441"/>
      <c r="M38" s="441"/>
      <c r="N38" s="376">
        <v>45139</v>
      </c>
      <c r="O38" s="438"/>
      <c r="P38" s="369">
        <v>6570.44</v>
      </c>
      <c r="Q38" s="370">
        <v>45156</v>
      </c>
      <c r="R38" s="371"/>
      <c r="S38" s="369"/>
      <c r="T38" s="369"/>
      <c r="U38" s="444"/>
      <c r="V38" s="612"/>
      <c r="W38" s="456"/>
      <c r="X38" s="2">
        <v>20</v>
      </c>
    </row>
    <row r="39" spans="1:24" s="2" customFormat="1" x14ac:dyDescent="0.3">
      <c r="A39" s="450"/>
      <c r="B39" s="441"/>
      <c r="C39" s="441"/>
      <c r="D39" s="441"/>
      <c r="E39" s="441"/>
      <c r="F39" s="438"/>
      <c r="G39" s="462"/>
      <c r="H39" s="444"/>
      <c r="I39" s="447"/>
      <c r="J39" s="606"/>
      <c r="K39" s="609"/>
      <c r="L39" s="441"/>
      <c r="M39" s="441"/>
      <c r="N39" s="376">
        <v>45170</v>
      </c>
      <c r="O39" s="438"/>
      <c r="P39" s="369">
        <v>4927.84</v>
      </c>
      <c r="Q39" s="370">
        <v>45174</v>
      </c>
      <c r="R39" s="371"/>
      <c r="S39" s="369"/>
      <c r="T39" s="369"/>
      <c r="U39" s="444"/>
      <c r="V39" s="612"/>
      <c r="W39" s="456"/>
      <c r="X39" s="2">
        <v>20</v>
      </c>
    </row>
    <row r="40" spans="1:24" s="2" customFormat="1" x14ac:dyDescent="0.3">
      <c r="A40" s="450"/>
      <c r="B40" s="441"/>
      <c r="C40" s="441"/>
      <c r="D40" s="441"/>
      <c r="E40" s="441"/>
      <c r="F40" s="438"/>
      <c r="G40" s="462"/>
      <c r="H40" s="444"/>
      <c r="I40" s="447"/>
      <c r="J40" s="606"/>
      <c r="K40" s="609"/>
      <c r="L40" s="441"/>
      <c r="M40" s="441"/>
      <c r="N40" s="376">
        <v>45170</v>
      </c>
      <c r="O40" s="438"/>
      <c r="P40" s="369">
        <v>6034.07</v>
      </c>
      <c r="Q40" s="370">
        <v>45184</v>
      </c>
      <c r="R40" s="371"/>
      <c r="S40" s="369"/>
      <c r="T40" s="369"/>
      <c r="U40" s="444"/>
      <c r="V40" s="612"/>
      <c r="W40" s="456"/>
      <c r="X40" s="2">
        <v>20</v>
      </c>
    </row>
    <row r="41" spans="1:24" s="2" customFormat="1" x14ac:dyDescent="0.3">
      <c r="A41" s="450"/>
      <c r="B41" s="441"/>
      <c r="C41" s="441"/>
      <c r="D41" s="441"/>
      <c r="E41" s="441"/>
      <c r="F41" s="438"/>
      <c r="G41" s="462"/>
      <c r="H41" s="444"/>
      <c r="I41" s="447"/>
      <c r="J41" s="606"/>
      <c r="K41" s="609"/>
      <c r="L41" s="441"/>
      <c r="M41" s="441"/>
      <c r="N41" s="376">
        <v>45200</v>
      </c>
      <c r="O41" s="438"/>
      <c r="P41" s="369">
        <v>4525.55</v>
      </c>
      <c r="Q41" s="370">
        <v>45201</v>
      </c>
      <c r="R41" s="371"/>
      <c r="S41" s="369"/>
      <c r="T41" s="369"/>
      <c r="U41" s="444"/>
      <c r="V41" s="612"/>
      <c r="W41" s="456"/>
      <c r="X41" s="2">
        <v>20</v>
      </c>
    </row>
    <row r="42" spans="1:24" s="2" customFormat="1" x14ac:dyDescent="0.3">
      <c r="A42" s="450"/>
      <c r="B42" s="441"/>
      <c r="C42" s="441"/>
      <c r="D42" s="441"/>
      <c r="E42" s="441"/>
      <c r="F42" s="438"/>
      <c r="G42" s="462"/>
      <c r="H42" s="444"/>
      <c r="I42" s="447"/>
      <c r="J42" s="606"/>
      <c r="K42" s="609"/>
      <c r="L42" s="441"/>
      <c r="M42" s="441"/>
      <c r="N42" s="376">
        <v>45199</v>
      </c>
      <c r="O42" s="438"/>
      <c r="P42" s="369">
        <v>13626.88</v>
      </c>
      <c r="Q42" s="370">
        <v>45216</v>
      </c>
      <c r="R42" s="371"/>
      <c r="S42" s="369"/>
      <c r="T42" s="369"/>
      <c r="U42" s="444"/>
      <c r="V42" s="612"/>
      <c r="W42" s="456"/>
      <c r="X42" s="2">
        <v>20</v>
      </c>
    </row>
    <row r="43" spans="1:24" s="2" customFormat="1" x14ac:dyDescent="0.3">
      <c r="A43" s="450"/>
      <c r="B43" s="441"/>
      <c r="C43" s="441"/>
      <c r="D43" s="441"/>
      <c r="E43" s="441"/>
      <c r="F43" s="438"/>
      <c r="G43" s="462"/>
      <c r="H43" s="444"/>
      <c r="I43" s="447"/>
      <c r="J43" s="606"/>
      <c r="K43" s="609"/>
      <c r="L43" s="441"/>
      <c r="M43" s="441"/>
      <c r="N43" s="376">
        <v>45200</v>
      </c>
      <c r="O43" s="438"/>
      <c r="P43" s="369">
        <v>18462.91</v>
      </c>
      <c r="Q43" s="370">
        <v>45216</v>
      </c>
      <c r="R43" s="371"/>
      <c r="S43" s="369"/>
      <c r="T43" s="369"/>
      <c r="U43" s="444"/>
      <c r="V43" s="612"/>
      <c r="W43" s="456"/>
      <c r="X43" s="2">
        <v>20</v>
      </c>
    </row>
    <row r="44" spans="1:24" s="2" customFormat="1" x14ac:dyDescent="0.3">
      <c r="A44" s="450"/>
      <c r="B44" s="441"/>
      <c r="C44" s="441"/>
      <c r="D44" s="441"/>
      <c r="E44" s="441"/>
      <c r="F44" s="438"/>
      <c r="G44" s="462"/>
      <c r="H44" s="444"/>
      <c r="I44" s="447"/>
      <c r="J44" s="606"/>
      <c r="K44" s="609"/>
      <c r="L44" s="441"/>
      <c r="M44" s="441"/>
      <c r="N44" s="376">
        <v>45231</v>
      </c>
      <c r="O44" s="438"/>
      <c r="P44" s="369">
        <v>13847.18</v>
      </c>
      <c r="Q44" s="370">
        <v>45231</v>
      </c>
      <c r="R44" s="371"/>
      <c r="S44" s="369"/>
      <c r="T44" s="369"/>
      <c r="U44" s="444"/>
      <c r="V44" s="612"/>
      <c r="W44" s="456"/>
      <c r="X44" s="2">
        <v>20</v>
      </c>
    </row>
    <row r="45" spans="1:24" s="2" customFormat="1" x14ac:dyDescent="0.3">
      <c r="A45" s="450"/>
      <c r="B45" s="441"/>
      <c r="C45" s="441"/>
      <c r="D45" s="441"/>
      <c r="E45" s="441"/>
      <c r="F45" s="438"/>
      <c r="G45" s="462"/>
      <c r="H45" s="444"/>
      <c r="I45" s="447"/>
      <c r="J45" s="606"/>
      <c r="K45" s="609"/>
      <c r="L45" s="441"/>
      <c r="M45" s="441"/>
      <c r="N45" s="376">
        <v>45230</v>
      </c>
      <c r="O45" s="438"/>
      <c r="P45" s="369">
        <v>32442.78</v>
      </c>
      <c r="Q45" s="370">
        <v>45245</v>
      </c>
      <c r="R45" s="371"/>
      <c r="S45" s="369"/>
      <c r="T45" s="369"/>
      <c r="U45" s="444"/>
      <c r="V45" s="612"/>
      <c r="W45" s="456"/>
      <c r="X45" s="2">
        <v>20</v>
      </c>
    </row>
    <row r="46" spans="1:24" s="2" customFormat="1" x14ac:dyDescent="0.3">
      <c r="A46" s="451"/>
      <c r="B46" s="442"/>
      <c r="C46" s="442"/>
      <c r="D46" s="442"/>
      <c r="E46" s="442"/>
      <c r="F46" s="439"/>
      <c r="G46" s="463"/>
      <c r="H46" s="445"/>
      <c r="I46" s="448"/>
      <c r="J46" s="607"/>
      <c r="K46" s="610"/>
      <c r="L46" s="442"/>
      <c r="M46" s="442"/>
      <c r="N46" s="377">
        <v>45231</v>
      </c>
      <c r="O46" s="439"/>
      <c r="P46" s="372">
        <v>24371.86</v>
      </c>
      <c r="Q46" s="373">
        <v>45245</v>
      </c>
      <c r="R46" s="374"/>
      <c r="S46" s="372"/>
      <c r="T46" s="372"/>
      <c r="U46" s="445"/>
      <c r="V46" s="613"/>
      <c r="W46" s="457"/>
      <c r="X46" s="2">
        <v>20</v>
      </c>
    </row>
    <row r="47" spans="1:24" s="108" customFormat="1" ht="93.75" customHeight="1" x14ac:dyDescent="0.3">
      <c r="A47" s="449">
        <v>4</v>
      </c>
      <c r="B47" s="440" t="s">
        <v>56</v>
      </c>
      <c r="C47" s="440" t="s">
        <v>146</v>
      </c>
      <c r="D47" s="440" t="s">
        <v>147</v>
      </c>
      <c r="E47" s="440" t="s">
        <v>191</v>
      </c>
      <c r="F47" s="437">
        <v>44925</v>
      </c>
      <c r="G47" s="461" t="s">
        <v>149</v>
      </c>
      <c r="H47" s="443">
        <v>45256.38</v>
      </c>
      <c r="I47" s="446">
        <f>IF(X47 = 21, H47 + SUM(S47:S56) - SUM(T47:T56) - SUM(P47:P56) - V47,0)</f>
        <v>7542.68</v>
      </c>
      <c r="J47" s="605">
        <v>2308131994</v>
      </c>
      <c r="K47" s="608" t="s">
        <v>178</v>
      </c>
      <c r="L47" s="440" t="s">
        <v>146</v>
      </c>
      <c r="M47" s="440"/>
      <c r="N47" s="375">
        <v>44957</v>
      </c>
      <c r="O47" s="437" t="s">
        <v>187</v>
      </c>
      <c r="P47" s="366">
        <v>3771.37</v>
      </c>
      <c r="Q47" s="367">
        <v>44963</v>
      </c>
      <c r="R47" s="368"/>
      <c r="S47" s="366"/>
      <c r="T47" s="366"/>
      <c r="U47" s="443"/>
      <c r="V47" s="611"/>
      <c r="W47" s="455"/>
      <c r="X47" s="108">
        <v>21</v>
      </c>
    </row>
    <row r="48" spans="1:24" s="2" customFormat="1" x14ac:dyDescent="0.3">
      <c r="A48" s="450"/>
      <c r="B48" s="441"/>
      <c r="C48" s="441"/>
      <c r="D48" s="441"/>
      <c r="E48" s="441"/>
      <c r="F48" s="438"/>
      <c r="G48" s="462"/>
      <c r="H48" s="444"/>
      <c r="I48" s="447"/>
      <c r="J48" s="606"/>
      <c r="K48" s="609"/>
      <c r="L48" s="441"/>
      <c r="M48" s="441"/>
      <c r="N48" s="376">
        <v>44985</v>
      </c>
      <c r="O48" s="438"/>
      <c r="P48" s="369">
        <v>3771.37</v>
      </c>
      <c r="Q48" s="370">
        <v>44995</v>
      </c>
      <c r="R48" s="371"/>
      <c r="S48" s="369"/>
      <c r="T48" s="369"/>
      <c r="U48" s="444"/>
      <c r="V48" s="612"/>
      <c r="W48" s="456"/>
      <c r="X48" s="2">
        <v>21</v>
      </c>
    </row>
    <row r="49" spans="1:24" s="2" customFormat="1" x14ac:dyDescent="0.3">
      <c r="A49" s="450"/>
      <c r="B49" s="441"/>
      <c r="C49" s="441"/>
      <c r="D49" s="441"/>
      <c r="E49" s="441"/>
      <c r="F49" s="438"/>
      <c r="G49" s="462"/>
      <c r="H49" s="444"/>
      <c r="I49" s="447"/>
      <c r="J49" s="606"/>
      <c r="K49" s="609"/>
      <c r="L49" s="441"/>
      <c r="M49" s="441"/>
      <c r="N49" s="376">
        <v>45016</v>
      </c>
      <c r="O49" s="438"/>
      <c r="P49" s="369">
        <v>3771.37</v>
      </c>
      <c r="Q49" s="370">
        <v>45022</v>
      </c>
      <c r="R49" s="371"/>
      <c r="S49" s="369"/>
      <c r="T49" s="369"/>
      <c r="U49" s="444"/>
      <c r="V49" s="612"/>
      <c r="W49" s="456"/>
      <c r="X49" s="2">
        <v>21</v>
      </c>
    </row>
    <row r="50" spans="1:24" s="2" customFormat="1" x14ac:dyDescent="0.3">
      <c r="A50" s="450"/>
      <c r="B50" s="441"/>
      <c r="C50" s="441"/>
      <c r="D50" s="441"/>
      <c r="E50" s="441"/>
      <c r="F50" s="438"/>
      <c r="G50" s="462"/>
      <c r="H50" s="444"/>
      <c r="I50" s="447"/>
      <c r="J50" s="606"/>
      <c r="K50" s="609"/>
      <c r="L50" s="441"/>
      <c r="M50" s="441"/>
      <c r="N50" s="376">
        <v>45046</v>
      </c>
      <c r="O50" s="438"/>
      <c r="P50" s="369">
        <v>3771.37</v>
      </c>
      <c r="Q50" s="370">
        <v>45051</v>
      </c>
      <c r="R50" s="371"/>
      <c r="S50" s="369"/>
      <c r="T50" s="369"/>
      <c r="U50" s="444"/>
      <c r="V50" s="612"/>
      <c r="W50" s="456"/>
      <c r="X50" s="2">
        <v>21</v>
      </c>
    </row>
    <row r="51" spans="1:24" s="2" customFormat="1" x14ac:dyDescent="0.3">
      <c r="A51" s="450"/>
      <c r="B51" s="441"/>
      <c r="C51" s="441"/>
      <c r="D51" s="441"/>
      <c r="E51" s="441"/>
      <c r="F51" s="438"/>
      <c r="G51" s="462"/>
      <c r="H51" s="444"/>
      <c r="I51" s="447"/>
      <c r="J51" s="606"/>
      <c r="K51" s="609"/>
      <c r="L51" s="441"/>
      <c r="M51" s="441"/>
      <c r="N51" s="376">
        <v>45077</v>
      </c>
      <c r="O51" s="438"/>
      <c r="P51" s="369">
        <v>3771.37</v>
      </c>
      <c r="Q51" s="370">
        <v>45083</v>
      </c>
      <c r="R51" s="371"/>
      <c r="S51" s="369"/>
      <c r="T51" s="369"/>
      <c r="U51" s="444"/>
      <c r="V51" s="612"/>
      <c r="W51" s="456"/>
      <c r="X51" s="2">
        <v>21</v>
      </c>
    </row>
    <row r="52" spans="1:24" s="2" customFormat="1" x14ac:dyDescent="0.3">
      <c r="A52" s="450"/>
      <c r="B52" s="441"/>
      <c r="C52" s="441"/>
      <c r="D52" s="441"/>
      <c r="E52" s="441"/>
      <c r="F52" s="438"/>
      <c r="G52" s="462"/>
      <c r="H52" s="444"/>
      <c r="I52" s="447"/>
      <c r="J52" s="606"/>
      <c r="K52" s="609"/>
      <c r="L52" s="441"/>
      <c r="M52" s="441"/>
      <c r="N52" s="376">
        <v>45107</v>
      </c>
      <c r="O52" s="438"/>
      <c r="P52" s="369">
        <v>3771.37</v>
      </c>
      <c r="Q52" s="370">
        <v>45114</v>
      </c>
      <c r="R52" s="371"/>
      <c r="S52" s="369"/>
      <c r="T52" s="369"/>
      <c r="U52" s="444"/>
      <c r="V52" s="612"/>
      <c r="W52" s="456"/>
      <c r="X52" s="2">
        <v>21</v>
      </c>
    </row>
    <row r="53" spans="1:24" s="2" customFormat="1" x14ac:dyDescent="0.3">
      <c r="A53" s="450"/>
      <c r="B53" s="441"/>
      <c r="C53" s="441"/>
      <c r="D53" s="441"/>
      <c r="E53" s="441"/>
      <c r="F53" s="438"/>
      <c r="G53" s="462"/>
      <c r="H53" s="444"/>
      <c r="I53" s="447"/>
      <c r="J53" s="606"/>
      <c r="K53" s="609"/>
      <c r="L53" s="441"/>
      <c r="M53" s="441"/>
      <c r="N53" s="376">
        <v>45138</v>
      </c>
      <c r="O53" s="438"/>
      <c r="P53" s="369">
        <v>3771.37</v>
      </c>
      <c r="Q53" s="370">
        <v>45142</v>
      </c>
      <c r="R53" s="371"/>
      <c r="S53" s="369"/>
      <c r="T53" s="369"/>
      <c r="U53" s="444"/>
      <c r="V53" s="612"/>
      <c r="W53" s="456"/>
      <c r="X53" s="2">
        <v>21</v>
      </c>
    </row>
    <row r="54" spans="1:24" s="2" customFormat="1" x14ac:dyDescent="0.3">
      <c r="A54" s="450"/>
      <c r="B54" s="441"/>
      <c r="C54" s="441"/>
      <c r="D54" s="441"/>
      <c r="E54" s="441"/>
      <c r="F54" s="438"/>
      <c r="G54" s="462"/>
      <c r="H54" s="444"/>
      <c r="I54" s="447"/>
      <c r="J54" s="606"/>
      <c r="K54" s="609"/>
      <c r="L54" s="441"/>
      <c r="M54" s="441"/>
      <c r="N54" s="376">
        <v>45169</v>
      </c>
      <c r="O54" s="438"/>
      <c r="P54" s="369">
        <v>3771.37</v>
      </c>
      <c r="Q54" s="370">
        <v>45174</v>
      </c>
      <c r="R54" s="371"/>
      <c r="S54" s="369"/>
      <c r="T54" s="369"/>
      <c r="U54" s="444"/>
      <c r="V54" s="612"/>
      <c r="W54" s="456"/>
      <c r="X54" s="2">
        <v>21</v>
      </c>
    </row>
    <row r="55" spans="1:24" s="2" customFormat="1" x14ac:dyDescent="0.3">
      <c r="A55" s="450"/>
      <c r="B55" s="441"/>
      <c r="C55" s="441"/>
      <c r="D55" s="441"/>
      <c r="E55" s="441"/>
      <c r="F55" s="438"/>
      <c r="G55" s="462"/>
      <c r="H55" s="444"/>
      <c r="I55" s="447"/>
      <c r="J55" s="606"/>
      <c r="K55" s="609"/>
      <c r="L55" s="441"/>
      <c r="M55" s="441"/>
      <c r="N55" s="376">
        <v>45199</v>
      </c>
      <c r="O55" s="438"/>
      <c r="P55" s="369">
        <v>3771.37</v>
      </c>
      <c r="Q55" s="370">
        <v>45204</v>
      </c>
      <c r="R55" s="371"/>
      <c r="S55" s="369"/>
      <c r="T55" s="369"/>
      <c r="U55" s="444"/>
      <c r="V55" s="612"/>
      <c r="W55" s="456"/>
      <c r="X55" s="2">
        <v>21</v>
      </c>
    </row>
    <row r="56" spans="1:24" s="2" customFormat="1" x14ac:dyDescent="0.3">
      <c r="A56" s="451"/>
      <c r="B56" s="442"/>
      <c r="C56" s="442"/>
      <c r="D56" s="442"/>
      <c r="E56" s="442"/>
      <c r="F56" s="439"/>
      <c r="G56" s="463"/>
      <c r="H56" s="445"/>
      <c r="I56" s="448"/>
      <c r="J56" s="607"/>
      <c r="K56" s="610"/>
      <c r="L56" s="442"/>
      <c r="M56" s="442"/>
      <c r="N56" s="377">
        <v>45230</v>
      </c>
      <c r="O56" s="439"/>
      <c r="P56" s="372">
        <v>3771.37</v>
      </c>
      <c r="Q56" s="373">
        <v>45231</v>
      </c>
      <c r="R56" s="374"/>
      <c r="S56" s="372"/>
      <c r="T56" s="372"/>
      <c r="U56" s="445"/>
      <c r="V56" s="613"/>
      <c r="W56" s="457"/>
      <c r="X56" s="2">
        <v>21</v>
      </c>
    </row>
    <row r="57" spans="1:24" s="108" customFormat="1" ht="187.5" customHeight="1" x14ac:dyDescent="0.3">
      <c r="A57" s="697">
        <v>5</v>
      </c>
      <c r="B57" s="632" t="s">
        <v>56</v>
      </c>
      <c r="C57" s="632" t="s">
        <v>146</v>
      </c>
      <c r="D57" s="632" t="s">
        <v>147</v>
      </c>
      <c r="E57" s="632" t="s">
        <v>36</v>
      </c>
      <c r="F57" s="662">
        <v>44951</v>
      </c>
      <c r="G57" s="665" t="s">
        <v>189</v>
      </c>
      <c r="H57" s="668">
        <v>362529.7</v>
      </c>
      <c r="I57" s="671">
        <f>IF(X57 = 22, H57 + SUM(S57:S66) - SUM(T57:T66) - SUM(P57:P66) - V57,0)</f>
        <v>0</v>
      </c>
      <c r="J57" s="674">
        <v>2353020735</v>
      </c>
      <c r="K57" s="677" t="s">
        <v>157</v>
      </c>
      <c r="L57" s="632" t="s">
        <v>146</v>
      </c>
      <c r="M57" s="632"/>
      <c r="N57" s="136">
        <v>44946</v>
      </c>
      <c r="O57" s="662" t="s">
        <v>181</v>
      </c>
      <c r="P57" s="137">
        <v>5322.73</v>
      </c>
      <c r="Q57" s="138">
        <v>44965</v>
      </c>
      <c r="R57" s="139"/>
      <c r="S57" s="137"/>
      <c r="T57" s="137"/>
      <c r="U57" s="668"/>
      <c r="V57" s="680">
        <v>72430.570000000007</v>
      </c>
      <c r="W57" s="659"/>
      <c r="X57" s="108">
        <v>22</v>
      </c>
    </row>
    <row r="58" spans="1:24" s="2" customFormat="1" x14ac:dyDescent="0.3">
      <c r="A58" s="698"/>
      <c r="B58" s="633"/>
      <c r="C58" s="633"/>
      <c r="D58" s="633"/>
      <c r="E58" s="633"/>
      <c r="F58" s="663"/>
      <c r="G58" s="666"/>
      <c r="H58" s="669"/>
      <c r="I58" s="672"/>
      <c r="J58" s="675"/>
      <c r="K58" s="678"/>
      <c r="L58" s="633"/>
      <c r="M58" s="633"/>
      <c r="N58" s="144">
        <v>44946</v>
      </c>
      <c r="O58" s="663"/>
      <c r="P58" s="145">
        <v>83387.759999999995</v>
      </c>
      <c r="Q58" s="146">
        <v>44967</v>
      </c>
      <c r="R58" s="147"/>
      <c r="S58" s="145"/>
      <c r="T58" s="145"/>
      <c r="U58" s="669"/>
      <c r="V58" s="681"/>
      <c r="W58" s="660"/>
      <c r="X58" s="2">
        <v>22</v>
      </c>
    </row>
    <row r="59" spans="1:24" s="2" customFormat="1" x14ac:dyDescent="0.3">
      <c r="A59" s="698"/>
      <c r="B59" s="633"/>
      <c r="C59" s="633"/>
      <c r="D59" s="633"/>
      <c r="E59" s="633"/>
      <c r="F59" s="663"/>
      <c r="G59" s="666"/>
      <c r="H59" s="669"/>
      <c r="I59" s="672"/>
      <c r="J59" s="675"/>
      <c r="K59" s="678"/>
      <c r="L59" s="633"/>
      <c r="M59" s="633"/>
      <c r="N59" s="144">
        <v>44957</v>
      </c>
      <c r="O59" s="663"/>
      <c r="P59" s="145">
        <v>58732.75</v>
      </c>
      <c r="Q59" s="146">
        <v>44970</v>
      </c>
      <c r="R59" s="147"/>
      <c r="S59" s="145"/>
      <c r="T59" s="145"/>
      <c r="U59" s="669"/>
      <c r="V59" s="681"/>
      <c r="W59" s="660"/>
      <c r="X59" s="2">
        <v>22</v>
      </c>
    </row>
    <row r="60" spans="1:24" s="2" customFormat="1" x14ac:dyDescent="0.3">
      <c r="A60" s="698"/>
      <c r="B60" s="633"/>
      <c r="C60" s="633"/>
      <c r="D60" s="633"/>
      <c r="E60" s="633"/>
      <c r="F60" s="663"/>
      <c r="G60" s="666"/>
      <c r="H60" s="669"/>
      <c r="I60" s="672"/>
      <c r="J60" s="675"/>
      <c r="K60" s="678"/>
      <c r="L60" s="633"/>
      <c r="M60" s="633"/>
      <c r="N60" s="144">
        <v>44957</v>
      </c>
      <c r="O60" s="663"/>
      <c r="P60" s="145">
        <v>3748.98</v>
      </c>
      <c r="Q60" s="146">
        <v>44970</v>
      </c>
      <c r="R60" s="147"/>
      <c r="S60" s="145"/>
      <c r="T60" s="145"/>
      <c r="U60" s="669"/>
      <c r="V60" s="681"/>
      <c r="W60" s="660"/>
      <c r="X60" s="2">
        <v>22</v>
      </c>
    </row>
    <row r="61" spans="1:24" s="2" customFormat="1" x14ac:dyDescent="0.3">
      <c r="A61" s="698"/>
      <c r="B61" s="633"/>
      <c r="C61" s="633"/>
      <c r="D61" s="633"/>
      <c r="E61" s="633"/>
      <c r="F61" s="663"/>
      <c r="G61" s="666"/>
      <c r="H61" s="669"/>
      <c r="I61" s="672"/>
      <c r="J61" s="675"/>
      <c r="K61" s="678"/>
      <c r="L61" s="633"/>
      <c r="M61" s="633"/>
      <c r="N61" s="144">
        <v>44960</v>
      </c>
      <c r="O61" s="663"/>
      <c r="P61" s="145">
        <v>24513.31</v>
      </c>
      <c r="Q61" s="146">
        <v>44970</v>
      </c>
      <c r="R61" s="147"/>
      <c r="S61" s="145"/>
      <c r="T61" s="145"/>
      <c r="U61" s="669"/>
      <c r="V61" s="681"/>
      <c r="W61" s="660"/>
      <c r="X61" s="2">
        <v>22</v>
      </c>
    </row>
    <row r="62" spans="1:24" s="2" customFormat="1" x14ac:dyDescent="0.3">
      <c r="A62" s="698"/>
      <c r="B62" s="633"/>
      <c r="C62" s="633"/>
      <c r="D62" s="633"/>
      <c r="E62" s="633"/>
      <c r="F62" s="663"/>
      <c r="G62" s="666"/>
      <c r="H62" s="669"/>
      <c r="I62" s="672"/>
      <c r="J62" s="675"/>
      <c r="K62" s="678"/>
      <c r="L62" s="633"/>
      <c r="M62" s="633"/>
      <c r="N62" s="144">
        <v>44960</v>
      </c>
      <c r="O62" s="663"/>
      <c r="P62" s="145">
        <v>1564.71</v>
      </c>
      <c r="Q62" s="146">
        <v>44970</v>
      </c>
      <c r="R62" s="147"/>
      <c r="S62" s="145"/>
      <c r="T62" s="145"/>
      <c r="U62" s="669"/>
      <c r="V62" s="681"/>
      <c r="W62" s="660"/>
      <c r="X62" s="2">
        <v>22</v>
      </c>
    </row>
    <row r="63" spans="1:24" s="2" customFormat="1" x14ac:dyDescent="0.3">
      <c r="A63" s="698"/>
      <c r="B63" s="633"/>
      <c r="C63" s="633"/>
      <c r="D63" s="633"/>
      <c r="E63" s="633"/>
      <c r="F63" s="663"/>
      <c r="G63" s="666"/>
      <c r="H63" s="669"/>
      <c r="I63" s="672"/>
      <c r="J63" s="675"/>
      <c r="K63" s="678"/>
      <c r="L63" s="633"/>
      <c r="M63" s="633"/>
      <c r="N63" s="144">
        <v>44974</v>
      </c>
      <c r="O63" s="663"/>
      <c r="P63" s="145">
        <v>65463.29</v>
      </c>
      <c r="Q63" s="146">
        <v>44986</v>
      </c>
      <c r="R63" s="147"/>
      <c r="S63" s="145"/>
      <c r="T63" s="145"/>
      <c r="U63" s="669"/>
      <c r="V63" s="681"/>
      <c r="W63" s="660"/>
      <c r="X63" s="2">
        <v>22</v>
      </c>
    </row>
    <row r="64" spans="1:24" s="2" customFormat="1" x14ac:dyDescent="0.3">
      <c r="A64" s="698"/>
      <c r="B64" s="633"/>
      <c r="C64" s="633"/>
      <c r="D64" s="633"/>
      <c r="E64" s="633"/>
      <c r="F64" s="663"/>
      <c r="G64" s="666"/>
      <c r="H64" s="669"/>
      <c r="I64" s="672"/>
      <c r="J64" s="675"/>
      <c r="K64" s="678"/>
      <c r="L64" s="633"/>
      <c r="M64" s="633"/>
      <c r="N64" s="144">
        <v>44974</v>
      </c>
      <c r="O64" s="663"/>
      <c r="P64" s="145">
        <v>4178.59</v>
      </c>
      <c r="Q64" s="146">
        <v>44986</v>
      </c>
      <c r="R64" s="147"/>
      <c r="S64" s="145"/>
      <c r="T64" s="145"/>
      <c r="U64" s="669"/>
      <c r="V64" s="681"/>
      <c r="W64" s="660"/>
      <c r="X64" s="2">
        <v>22</v>
      </c>
    </row>
    <row r="65" spans="1:24" s="2" customFormat="1" x14ac:dyDescent="0.3">
      <c r="A65" s="698"/>
      <c r="B65" s="633"/>
      <c r="C65" s="633"/>
      <c r="D65" s="633"/>
      <c r="E65" s="633"/>
      <c r="F65" s="663"/>
      <c r="G65" s="666"/>
      <c r="H65" s="669"/>
      <c r="I65" s="672"/>
      <c r="J65" s="675"/>
      <c r="K65" s="678"/>
      <c r="L65" s="633"/>
      <c r="M65" s="633"/>
      <c r="N65" s="144">
        <v>44985</v>
      </c>
      <c r="O65" s="663"/>
      <c r="P65" s="145">
        <v>40595.74</v>
      </c>
      <c r="Q65" s="146">
        <v>45002</v>
      </c>
      <c r="R65" s="147"/>
      <c r="S65" s="145"/>
      <c r="T65" s="145"/>
      <c r="U65" s="669"/>
      <c r="V65" s="681"/>
      <c r="W65" s="660"/>
      <c r="X65" s="2">
        <v>22</v>
      </c>
    </row>
    <row r="66" spans="1:24" s="2" customFormat="1" x14ac:dyDescent="0.3">
      <c r="A66" s="699"/>
      <c r="B66" s="634"/>
      <c r="C66" s="634"/>
      <c r="D66" s="634"/>
      <c r="E66" s="634"/>
      <c r="F66" s="664"/>
      <c r="G66" s="667"/>
      <c r="H66" s="670"/>
      <c r="I66" s="673"/>
      <c r="J66" s="676"/>
      <c r="K66" s="679"/>
      <c r="L66" s="634"/>
      <c r="M66" s="634"/>
      <c r="N66" s="140">
        <v>44985</v>
      </c>
      <c r="O66" s="664"/>
      <c r="P66" s="141">
        <v>2591.27</v>
      </c>
      <c r="Q66" s="142">
        <v>45002</v>
      </c>
      <c r="R66" s="143"/>
      <c r="S66" s="141"/>
      <c r="T66" s="141"/>
      <c r="U66" s="670"/>
      <c r="V66" s="682"/>
      <c r="W66" s="661"/>
      <c r="X66" s="2">
        <v>22</v>
      </c>
    </row>
    <row r="67" spans="1:24" s="108" customFormat="1" ht="187.5" customHeight="1" x14ac:dyDescent="0.3">
      <c r="A67" s="697">
        <v>6</v>
      </c>
      <c r="B67" s="632" t="s">
        <v>56</v>
      </c>
      <c r="C67" s="632" t="s">
        <v>146</v>
      </c>
      <c r="D67" s="632" t="s">
        <v>147</v>
      </c>
      <c r="E67" s="632" t="s">
        <v>110</v>
      </c>
      <c r="F67" s="662">
        <v>44951</v>
      </c>
      <c r="G67" s="665" t="s">
        <v>189</v>
      </c>
      <c r="H67" s="668">
        <v>120250</v>
      </c>
      <c r="I67" s="671">
        <f>IF(X67 = 23, H67 + SUM(S67:S71) - SUM(T67:T71) - SUM(P67:P71) - V67,0)</f>
        <v>0</v>
      </c>
      <c r="J67" s="674">
        <v>2353020735</v>
      </c>
      <c r="K67" s="677" t="s">
        <v>157</v>
      </c>
      <c r="L67" s="632" t="s">
        <v>146</v>
      </c>
      <c r="M67" s="632"/>
      <c r="N67" s="136">
        <v>44946</v>
      </c>
      <c r="O67" s="662" t="s">
        <v>181</v>
      </c>
      <c r="P67" s="137">
        <v>29425</v>
      </c>
      <c r="Q67" s="138">
        <v>44965</v>
      </c>
      <c r="R67" s="139"/>
      <c r="S67" s="137"/>
      <c r="T67" s="137"/>
      <c r="U67" s="668"/>
      <c r="V67" s="680">
        <v>24025</v>
      </c>
      <c r="W67" s="659"/>
      <c r="X67" s="108">
        <v>23</v>
      </c>
    </row>
    <row r="68" spans="1:24" s="2" customFormat="1" x14ac:dyDescent="0.3">
      <c r="A68" s="698"/>
      <c r="B68" s="633"/>
      <c r="C68" s="633"/>
      <c r="D68" s="633"/>
      <c r="E68" s="633"/>
      <c r="F68" s="663"/>
      <c r="G68" s="666"/>
      <c r="H68" s="669"/>
      <c r="I68" s="672"/>
      <c r="J68" s="675"/>
      <c r="K68" s="678"/>
      <c r="L68" s="633"/>
      <c r="M68" s="633"/>
      <c r="N68" s="144">
        <v>44957</v>
      </c>
      <c r="O68" s="663"/>
      <c r="P68" s="145">
        <v>20725</v>
      </c>
      <c r="Q68" s="146">
        <v>44970</v>
      </c>
      <c r="R68" s="147"/>
      <c r="S68" s="145"/>
      <c r="T68" s="145"/>
      <c r="U68" s="669"/>
      <c r="V68" s="681"/>
      <c r="W68" s="660"/>
      <c r="X68" s="2">
        <v>23</v>
      </c>
    </row>
    <row r="69" spans="1:24" s="2" customFormat="1" x14ac:dyDescent="0.3">
      <c r="A69" s="698"/>
      <c r="B69" s="633"/>
      <c r="C69" s="633"/>
      <c r="D69" s="633"/>
      <c r="E69" s="633"/>
      <c r="F69" s="663"/>
      <c r="G69" s="666"/>
      <c r="H69" s="669"/>
      <c r="I69" s="672"/>
      <c r="J69" s="675"/>
      <c r="K69" s="678"/>
      <c r="L69" s="633"/>
      <c r="M69" s="633"/>
      <c r="N69" s="144">
        <v>44960</v>
      </c>
      <c r="O69" s="663"/>
      <c r="P69" s="145">
        <v>8650</v>
      </c>
      <c r="Q69" s="146">
        <v>44970</v>
      </c>
      <c r="R69" s="147"/>
      <c r="S69" s="145"/>
      <c r="T69" s="145"/>
      <c r="U69" s="669"/>
      <c r="V69" s="681"/>
      <c r="W69" s="660"/>
      <c r="X69" s="2">
        <v>23</v>
      </c>
    </row>
    <row r="70" spans="1:24" s="2" customFormat="1" x14ac:dyDescent="0.3">
      <c r="A70" s="698"/>
      <c r="B70" s="633"/>
      <c r="C70" s="633"/>
      <c r="D70" s="633"/>
      <c r="E70" s="633"/>
      <c r="F70" s="663"/>
      <c r="G70" s="666"/>
      <c r="H70" s="669"/>
      <c r="I70" s="672"/>
      <c r="J70" s="675"/>
      <c r="K70" s="678"/>
      <c r="L70" s="633"/>
      <c r="M70" s="633"/>
      <c r="N70" s="144">
        <v>44974</v>
      </c>
      <c r="O70" s="663"/>
      <c r="P70" s="145">
        <v>23100</v>
      </c>
      <c r="Q70" s="146">
        <v>44986</v>
      </c>
      <c r="R70" s="147"/>
      <c r="S70" s="145"/>
      <c r="T70" s="145"/>
      <c r="U70" s="669"/>
      <c r="V70" s="681"/>
      <c r="W70" s="660"/>
      <c r="X70" s="2">
        <v>23</v>
      </c>
    </row>
    <row r="71" spans="1:24" s="2" customFormat="1" x14ac:dyDescent="0.3">
      <c r="A71" s="699"/>
      <c r="B71" s="634"/>
      <c r="C71" s="634"/>
      <c r="D71" s="634"/>
      <c r="E71" s="634"/>
      <c r="F71" s="664"/>
      <c r="G71" s="667"/>
      <c r="H71" s="670"/>
      <c r="I71" s="673"/>
      <c r="J71" s="676"/>
      <c r="K71" s="679"/>
      <c r="L71" s="634"/>
      <c r="M71" s="634"/>
      <c r="N71" s="140">
        <v>44985</v>
      </c>
      <c r="O71" s="664"/>
      <c r="P71" s="141">
        <v>14325</v>
      </c>
      <c r="Q71" s="142">
        <v>44995</v>
      </c>
      <c r="R71" s="143"/>
      <c r="S71" s="141"/>
      <c r="T71" s="141"/>
      <c r="U71" s="670"/>
      <c r="V71" s="682"/>
      <c r="W71" s="661"/>
      <c r="X71" s="2">
        <v>23</v>
      </c>
    </row>
    <row r="72" spans="1:24" s="108" customFormat="1" ht="108" x14ac:dyDescent="0.3">
      <c r="A72" s="124">
        <v>7</v>
      </c>
      <c r="B72" s="125" t="s">
        <v>56</v>
      </c>
      <c r="C72" s="125" t="s">
        <v>146</v>
      </c>
      <c r="D72" s="125" t="s">
        <v>195</v>
      </c>
      <c r="E72" s="125" t="s">
        <v>112</v>
      </c>
      <c r="F72" s="135">
        <v>44951</v>
      </c>
      <c r="G72" s="126" t="s">
        <v>196</v>
      </c>
      <c r="H72" s="127">
        <v>49130</v>
      </c>
      <c r="I72" s="128">
        <f>IF(X72 = 24, H72 + SUM(S72:S72) - SUM(T72:T72) - SUM(P72:P72) - V72,0)</f>
        <v>0</v>
      </c>
      <c r="J72" s="129">
        <v>235303483777</v>
      </c>
      <c r="K72" s="130" t="s">
        <v>197</v>
      </c>
      <c r="L72" s="125" t="s">
        <v>146</v>
      </c>
      <c r="M72" s="125"/>
      <c r="N72" s="135">
        <v>44951</v>
      </c>
      <c r="O72" s="135" t="s">
        <v>181</v>
      </c>
      <c r="P72" s="127">
        <v>49130</v>
      </c>
      <c r="Q72" s="126">
        <v>44953</v>
      </c>
      <c r="R72" s="125"/>
      <c r="S72" s="127"/>
      <c r="T72" s="127"/>
      <c r="U72" s="127"/>
      <c r="V72" s="131"/>
      <c r="W72" s="133"/>
      <c r="X72" s="108">
        <v>24</v>
      </c>
    </row>
    <row r="73" spans="1:24" s="108" customFormat="1" ht="131.25" customHeight="1" x14ac:dyDescent="0.3">
      <c r="A73" s="603">
        <v>8</v>
      </c>
      <c r="B73" s="547" t="s">
        <v>56</v>
      </c>
      <c r="C73" s="547" t="s">
        <v>146</v>
      </c>
      <c r="D73" s="547" t="s">
        <v>199</v>
      </c>
      <c r="E73" s="547" t="s">
        <v>114</v>
      </c>
      <c r="F73" s="591">
        <v>44951</v>
      </c>
      <c r="G73" s="720" t="s">
        <v>198</v>
      </c>
      <c r="H73" s="593">
        <v>119880</v>
      </c>
      <c r="I73" s="595">
        <f>IF(X73 = 25, H73 + SUM(S73:S82) - SUM(T73:T82) - SUM(P73:P82) - V73,0)</f>
        <v>0</v>
      </c>
      <c r="J73" s="722">
        <v>2353020735</v>
      </c>
      <c r="K73" s="724" t="s">
        <v>157</v>
      </c>
      <c r="L73" s="547" t="s">
        <v>146</v>
      </c>
      <c r="M73" s="547"/>
      <c r="N73" s="254">
        <v>44957</v>
      </c>
      <c r="O73" s="591" t="s">
        <v>181</v>
      </c>
      <c r="P73" s="248">
        <v>8190</v>
      </c>
      <c r="Q73" s="249">
        <v>44970</v>
      </c>
      <c r="R73" s="250"/>
      <c r="S73" s="248"/>
      <c r="T73" s="248"/>
      <c r="U73" s="593" t="s">
        <v>344</v>
      </c>
      <c r="V73" s="733">
        <v>36644</v>
      </c>
      <c r="W73" s="587"/>
      <c r="X73" s="108">
        <v>25</v>
      </c>
    </row>
    <row r="74" spans="1:24" s="2" customFormat="1" x14ac:dyDescent="0.3">
      <c r="A74" s="700"/>
      <c r="B74" s="701"/>
      <c r="C74" s="701"/>
      <c r="D74" s="701"/>
      <c r="E74" s="701"/>
      <c r="F74" s="727"/>
      <c r="G74" s="728"/>
      <c r="H74" s="729"/>
      <c r="I74" s="730"/>
      <c r="J74" s="731"/>
      <c r="K74" s="732"/>
      <c r="L74" s="701"/>
      <c r="M74" s="701"/>
      <c r="N74" s="259">
        <v>44951</v>
      </c>
      <c r="O74" s="727"/>
      <c r="P74" s="256">
        <v>10764</v>
      </c>
      <c r="Q74" s="257">
        <v>44970</v>
      </c>
      <c r="R74" s="258"/>
      <c r="S74" s="256"/>
      <c r="T74" s="256"/>
      <c r="U74" s="729"/>
      <c r="V74" s="734"/>
      <c r="W74" s="726"/>
      <c r="X74" s="2">
        <v>25</v>
      </c>
    </row>
    <row r="75" spans="1:24" s="2" customFormat="1" x14ac:dyDescent="0.3">
      <c r="A75" s="700"/>
      <c r="B75" s="701"/>
      <c r="C75" s="701"/>
      <c r="D75" s="701"/>
      <c r="E75" s="701"/>
      <c r="F75" s="727"/>
      <c r="G75" s="728"/>
      <c r="H75" s="729"/>
      <c r="I75" s="730"/>
      <c r="J75" s="731"/>
      <c r="K75" s="732"/>
      <c r="L75" s="701"/>
      <c r="M75" s="701"/>
      <c r="N75" s="259">
        <v>44985</v>
      </c>
      <c r="O75" s="727"/>
      <c r="P75" s="256">
        <v>6430</v>
      </c>
      <c r="Q75" s="257">
        <v>44995</v>
      </c>
      <c r="R75" s="258"/>
      <c r="S75" s="256"/>
      <c r="T75" s="256"/>
      <c r="U75" s="729"/>
      <c r="V75" s="734"/>
      <c r="W75" s="726"/>
      <c r="X75" s="2">
        <v>25</v>
      </c>
    </row>
    <row r="76" spans="1:24" s="2" customFormat="1" x14ac:dyDescent="0.3">
      <c r="A76" s="700"/>
      <c r="B76" s="701"/>
      <c r="C76" s="701"/>
      <c r="D76" s="701"/>
      <c r="E76" s="701"/>
      <c r="F76" s="727"/>
      <c r="G76" s="728"/>
      <c r="H76" s="729"/>
      <c r="I76" s="730"/>
      <c r="J76" s="731"/>
      <c r="K76" s="732"/>
      <c r="L76" s="701"/>
      <c r="M76" s="701"/>
      <c r="N76" s="259">
        <v>44985</v>
      </c>
      <c r="O76" s="727"/>
      <c r="P76" s="256">
        <v>11316</v>
      </c>
      <c r="Q76" s="257">
        <v>44995</v>
      </c>
      <c r="R76" s="258"/>
      <c r="S76" s="256"/>
      <c r="T76" s="256"/>
      <c r="U76" s="729"/>
      <c r="V76" s="734"/>
      <c r="W76" s="726"/>
      <c r="X76" s="2">
        <v>25</v>
      </c>
    </row>
    <row r="77" spans="1:24" s="2" customFormat="1" x14ac:dyDescent="0.3">
      <c r="A77" s="700"/>
      <c r="B77" s="701"/>
      <c r="C77" s="701"/>
      <c r="D77" s="701"/>
      <c r="E77" s="701"/>
      <c r="F77" s="727"/>
      <c r="G77" s="728"/>
      <c r="H77" s="729"/>
      <c r="I77" s="730"/>
      <c r="J77" s="731"/>
      <c r="K77" s="732"/>
      <c r="L77" s="701"/>
      <c r="M77" s="701"/>
      <c r="N77" s="259">
        <v>45009</v>
      </c>
      <c r="O77" s="727"/>
      <c r="P77" s="256">
        <v>6030</v>
      </c>
      <c r="Q77" s="257">
        <v>45023</v>
      </c>
      <c r="R77" s="258"/>
      <c r="S77" s="256"/>
      <c r="T77" s="256"/>
      <c r="U77" s="729"/>
      <c r="V77" s="734"/>
      <c r="W77" s="726"/>
      <c r="X77" s="2">
        <v>25</v>
      </c>
    </row>
    <row r="78" spans="1:24" s="2" customFormat="1" x14ac:dyDescent="0.3">
      <c r="A78" s="700"/>
      <c r="B78" s="701"/>
      <c r="C78" s="701"/>
      <c r="D78" s="701"/>
      <c r="E78" s="701"/>
      <c r="F78" s="727"/>
      <c r="G78" s="728"/>
      <c r="H78" s="729"/>
      <c r="I78" s="730"/>
      <c r="J78" s="731"/>
      <c r="K78" s="732"/>
      <c r="L78" s="701"/>
      <c r="M78" s="701"/>
      <c r="N78" s="259">
        <v>45009</v>
      </c>
      <c r="O78" s="727"/>
      <c r="P78" s="256">
        <v>10830</v>
      </c>
      <c r="Q78" s="257">
        <v>45023</v>
      </c>
      <c r="R78" s="258"/>
      <c r="S78" s="256"/>
      <c r="T78" s="256"/>
      <c r="U78" s="729"/>
      <c r="V78" s="734"/>
      <c r="W78" s="726"/>
      <c r="X78" s="2">
        <v>25</v>
      </c>
    </row>
    <row r="79" spans="1:24" s="2" customFormat="1" x14ac:dyDescent="0.3">
      <c r="A79" s="700"/>
      <c r="B79" s="701"/>
      <c r="C79" s="701"/>
      <c r="D79" s="701"/>
      <c r="E79" s="701"/>
      <c r="F79" s="727"/>
      <c r="G79" s="728"/>
      <c r="H79" s="729"/>
      <c r="I79" s="730"/>
      <c r="J79" s="731"/>
      <c r="K79" s="732"/>
      <c r="L79" s="701"/>
      <c r="M79" s="701"/>
      <c r="N79" s="259">
        <v>45044</v>
      </c>
      <c r="O79" s="727"/>
      <c r="P79" s="256">
        <v>11616</v>
      </c>
      <c r="Q79" s="257">
        <v>45061</v>
      </c>
      <c r="R79" s="258"/>
      <c r="S79" s="256"/>
      <c r="T79" s="256"/>
      <c r="U79" s="729"/>
      <c r="V79" s="734"/>
      <c r="W79" s="726"/>
      <c r="X79" s="2">
        <v>25</v>
      </c>
    </row>
    <row r="80" spans="1:24" s="2" customFormat="1" x14ac:dyDescent="0.3">
      <c r="A80" s="700"/>
      <c r="B80" s="701"/>
      <c r="C80" s="701"/>
      <c r="D80" s="701"/>
      <c r="E80" s="701"/>
      <c r="F80" s="727"/>
      <c r="G80" s="728"/>
      <c r="H80" s="729"/>
      <c r="I80" s="730"/>
      <c r="J80" s="731"/>
      <c r="K80" s="732"/>
      <c r="L80" s="701"/>
      <c r="M80" s="701"/>
      <c r="N80" s="259">
        <v>45044</v>
      </c>
      <c r="O80" s="727"/>
      <c r="P80" s="256">
        <v>6230</v>
      </c>
      <c r="Q80" s="257">
        <v>45061</v>
      </c>
      <c r="R80" s="258"/>
      <c r="S80" s="256"/>
      <c r="T80" s="256"/>
      <c r="U80" s="729"/>
      <c r="V80" s="734"/>
      <c r="W80" s="726"/>
      <c r="X80" s="2">
        <v>25</v>
      </c>
    </row>
    <row r="81" spans="1:24" s="2" customFormat="1" x14ac:dyDescent="0.3">
      <c r="A81" s="700"/>
      <c r="B81" s="701"/>
      <c r="C81" s="701"/>
      <c r="D81" s="701"/>
      <c r="E81" s="701"/>
      <c r="F81" s="727"/>
      <c r="G81" s="728"/>
      <c r="H81" s="729"/>
      <c r="I81" s="730"/>
      <c r="J81" s="731"/>
      <c r="K81" s="732"/>
      <c r="L81" s="701"/>
      <c r="M81" s="701"/>
      <c r="N81" s="259">
        <v>45065</v>
      </c>
      <c r="O81" s="727"/>
      <c r="P81" s="256">
        <v>7590</v>
      </c>
      <c r="Q81" s="257">
        <v>45079</v>
      </c>
      <c r="R81" s="258"/>
      <c r="S81" s="256"/>
      <c r="T81" s="256"/>
      <c r="U81" s="729"/>
      <c r="V81" s="734"/>
      <c r="W81" s="726"/>
      <c r="X81" s="2">
        <v>25</v>
      </c>
    </row>
    <row r="82" spans="1:24" s="2" customFormat="1" x14ac:dyDescent="0.3">
      <c r="A82" s="604"/>
      <c r="B82" s="548"/>
      <c r="C82" s="548"/>
      <c r="D82" s="548"/>
      <c r="E82" s="548"/>
      <c r="F82" s="592"/>
      <c r="G82" s="721"/>
      <c r="H82" s="594"/>
      <c r="I82" s="596"/>
      <c r="J82" s="723"/>
      <c r="K82" s="725"/>
      <c r="L82" s="548"/>
      <c r="M82" s="548"/>
      <c r="N82" s="255">
        <v>45065</v>
      </c>
      <c r="O82" s="592"/>
      <c r="P82" s="251">
        <v>4240</v>
      </c>
      <c r="Q82" s="252">
        <v>45079</v>
      </c>
      <c r="R82" s="253"/>
      <c r="S82" s="251"/>
      <c r="T82" s="251"/>
      <c r="U82" s="594"/>
      <c r="V82" s="735"/>
      <c r="W82" s="588"/>
      <c r="X82" s="2">
        <v>25</v>
      </c>
    </row>
    <row r="83" spans="1:24" s="108" customFormat="1" ht="131.25" customHeight="1" x14ac:dyDescent="0.3">
      <c r="A83" s="549">
        <v>9</v>
      </c>
      <c r="B83" s="555" t="s">
        <v>56</v>
      </c>
      <c r="C83" s="555" t="s">
        <v>146</v>
      </c>
      <c r="D83" s="555" t="s">
        <v>147</v>
      </c>
      <c r="E83" s="555" t="s">
        <v>115</v>
      </c>
      <c r="F83" s="551">
        <v>44951</v>
      </c>
      <c r="G83" s="621" t="s">
        <v>200</v>
      </c>
      <c r="H83" s="553">
        <v>4500</v>
      </c>
      <c r="I83" s="563">
        <f>IF(X83 = 26, H83 + SUM(S83:S86) - SUM(T83:T86) - SUM(P83:P86) - V83,0)</f>
        <v>0</v>
      </c>
      <c r="J83" s="626">
        <v>2353020735</v>
      </c>
      <c r="K83" s="629" t="s">
        <v>157</v>
      </c>
      <c r="L83" s="555" t="s">
        <v>146</v>
      </c>
      <c r="M83" s="555"/>
      <c r="N83" s="197">
        <v>44951</v>
      </c>
      <c r="O83" s="551" t="s">
        <v>181</v>
      </c>
      <c r="P83" s="188">
        <v>1250</v>
      </c>
      <c r="Q83" s="189">
        <v>44970</v>
      </c>
      <c r="R83" s="190"/>
      <c r="S83" s="188"/>
      <c r="T83" s="188"/>
      <c r="U83" s="553"/>
      <c r="V83" s="649">
        <v>975</v>
      </c>
      <c r="W83" s="559"/>
      <c r="X83" s="108">
        <v>26</v>
      </c>
    </row>
    <row r="84" spans="1:24" s="2" customFormat="1" x14ac:dyDescent="0.3">
      <c r="A84" s="647"/>
      <c r="B84" s="648"/>
      <c r="C84" s="648"/>
      <c r="D84" s="648"/>
      <c r="E84" s="648"/>
      <c r="F84" s="620"/>
      <c r="G84" s="622"/>
      <c r="H84" s="624"/>
      <c r="I84" s="625"/>
      <c r="J84" s="627"/>
      <c r="K84" s="630"/>
      <c r="L84" s="648"/>
      <c r="M84" s="648"/>
      <c r="N84" s="198">
        <v>44985</v>
      </c>
      <c r="O84" s="620"/>
      <c r="P84" s="191">
        <v>1025</v>
      </c>
      <c r="Q84" s="192">
        <v>44995</v>
      </c>
      <c r="R84" s="193"/>
      <c r="S84" s="191"/>
      <c r="T84" s="191"/>
      <c r="U84" s="624"/>
      <c r="V84" s="650"/>
      <c r="W84" s="642"/>
      <c r="X84" s="2">
        <v>26</v>
      </c>
    </row>
    <row r="85" spans="1:24" s="2" customFormat="1" x14ac:dyDescent="0.3">
      <c r="A85" s="647"/>
      <c r="B85" s="648"/>
      <c r="C85" s="648"/>
      <c r="D85" s="648"/>
      <c r="E85" s="648"/>
      <c r="F85" s="620"/>
      <c r="G85" s="622"/>
      <c r="H85" s="624"/>
      <c r="I85" s="625"/>
      <c r="J85" s="627"/>
      <c r="K85" s="630"/>
      <c r="L85" s="648"/>
      <c r="M85" s="648"/>
      <c r="N85" s="198">
        <v>45009</v>
      </c>
      <c r="O85" s="620"/>
      <c r="P85" s="191">
        <v>1250</v>
      </c>
      <c r="Q85" s="192">
        <v>45016</v>
      </c>
      <c r="R85" s="193"/>
      <c r="S85" s="191"/>
      <c r="T85" s="191"/>
      <c r="U85" s="624"/>
      <c r="V85" s="650"/>
      <c r="W85" s="642"/>
      <c r="X85" s="2">
        <v>26</v>
      </c>
    </row>
    <row r="86" spans="1:24" s="2" customFormat="1" x14ac:dyDescent="0.3">
      <c r="A86" s="550"/>
      <c r="B86" s="556"/>
      <c r="C86" s="556"/>
      <c r="D86" s="556"/>
      <c r="E86" s="556"/>
      <c r="F86" s="552"/>
      <c r="G86" s="623"/>
      <c r="H86" s="554"/>
      <c r="I86" s="564"/>
      <c r="J86" s="628"/>
      <c r="K86" s="631"/>
      <c r="L86" s="556"/>
      <c r="M86" s="556"/>
      <c r="N86" s="199"/>
      <c r="O86" s="552"/>
      <c r="P86" s="194"/>
      <c r="Q86" s="195"/>
      <c r="R86" s="196"/>
      <c r="S86" s="194"/>
      <c r="T86" s="194"/>
      <c r="U86" s="554"/>
      <c r="V86" s="651"/>
      <c r="W86" s="560"/>
      <c r="X86" s="2">
        <v>26</v>
      </c>
    </row>
    <row r="87" spans="1:24" s="108" customFormat="1" ht="131.25" customHeight="1" x14ac:dyDescent="0.3">
      <c r="A87" s="549">
        <v>10</v>
      </c>
      <c r="B87" s="555" t="s">
        <v>56</v>
      </c>
      <c r="C87" s="555" t="s">
        <v>146</v>
      </c>
      <c r="D87" s="555" t="s">
        <v>147</v>
      </c>
      <c r="E87" s="555" t="s">
        <v>116</v>
      </c>
      <c r="F87" s="551">
        <v>44951</v>
      </c>
      <c r="G87" s="621" t="s">
        <v>200</v>
      </c>
      <c r="H87" s="553">
        <v>23879.7</v>
      </c>
      <c r="I87" s="563">
        <f>IF(X87 = 27, H87 + SUM(S87:S89) - SUM(T87:T89) - SUM(P87:P89) - V87,0)</f>
        <v>1.8189894035458565E-12</v>
      </c>
      <c r="J87" s="626">
        <v>2353020735</v>
      </c>
      <c r="K87" s="629" t="s">
        <v>157</v>
      </c>
      <c r="L87" s="555" t="s">
        <v>146</v>
      </c>
      <c r="M87" s="555"/>
      <c r="N87" s="197">
        <v>44957</v>
      </c>
      <c r="O87" s="551" t="s">
        <v>181</v>
      </c>
      <c r="P87" s="188">
        <v>4416.4799999999996</v>
      </c>
      <c r="Q87" s="189">
        <v>44970</v>
      </c>
      <c r="R87" s="190"/>
      <c r="S87" s="188"/>
      <c r="T87" s="188"/>
      <c r="U87" s="553" t="s">
        <v>344</v>
      </c>
      <c r="V87" s="649">
        <v>11392.13</v>
      </c>
      <c r="W87" s="559"/>
      <c r="X87" s="108">
        <v>27</v>
      </c>
    </row>
    <row r="88" spans="1:24" s="2" customFormat="1" x14ac:dyDescent="0.3">
      <c r="A88" s="647"/>
      <c r="B88" s="648"/>
      <c r="C88" s="648"/>
      <c r="D88" s="648"/>
      <c r="E88" s="648"/>
      <c r="F88" s="620"/>
      <c r="G88" s="622"/>
      <c r="H88" s="624"/>
      <c r="I88" s="625"/>
      <c r="J88" s="627"/>
      <c r="K88" s="630"/>
      <c r="L88" s="648"/>
      <c r="M88" s="648"/>
      <c r="N88" s="198">
        <v>44985</v>
      </c>
      <c r="O88" s="620"/>
      <c r="P88" s="191">
        <v>3654.61</v>
      </c>
      <c r="Q88" s="192">
        <v>44995</v>
      </c>
      <c r="R88" s="193"/>
      <c r="S88" s="191"/>
      <c r="T88" s="191"/>
      <c r="U88" s="624"/>
      <c r="V88" s="650"/>
      <c r="W88" s="642"/>
      <c r="X88" s="2">
        <v>27</v>
      </c>
    </row>
    <row r="89" spans="1:24" s="2" customFormat="1" x14ac:dyDescent="0.3">
      <c r="A89" s="550"/>
      <c r="B89" s="556"/>
      <c r="C89" s="556"/>
      <c r="D89" s="556"/>
      <c r="E89" s="556"/>
      <c r="F89" s="552"/>
      <c r="G89" s="623"/>
      <c r="H89" s="554"/>
      <c r="I89" s="564"/>
      <c r="J89" s="628"/>
      <c r="K89" s="631"/>
      <c r="L89" s="556"/>
      <c r="M89" s="556"/>
      <c r="N89" s="199">
        <v>45009</v>
      </c>
      <c r="O89" s="552"/>
      <c r="P89" s="194">
        <v>4416.4799999999996</v>
      </c>
      <c r="Q89" s="195">
        <v>45023</v>
      </c>
      <c r="R89" s="196"/>
      <c r="S89" s="194"/>
      <c r="T89" s="194"/>
      <c r="U89" s="554"/>
      <c r="V89" s="651"/>
      <c r="W89" s="560"/>
      <c r="X89" s="2">
        <v>27</v>
      </c>
    </row>
    <row r="90" spans="1:24" s="108" customFormat="1" ht="131.25" customHeight="1" x14ac:dyDescent="0.3">
      <c r="A90" s="549">
        <v>11</v>
      </c>
      <c r="B90" s="555" t="s">
        <v>56</v>
      </c>
      <c r="C90" s="555" t="s">
        <v>146</v>
      </c>
      <c r="D90" s="555" t="s">
        <v>147</v>
      </c>
      <c r="E90" s="555" t="s">
        <v>117</v>
      </c>
      <c r="F90" s="551">
        <v>44951</v>
      </c>
      <c r="G90" s="621" t="s">
        <v>201</v>
      </c>
      <c r="H90" s="553">
        <v>31500</v>
      </c>
      <c r="I90" s="563">
        <f>IF(X90 = 28, H90 + SUM(S90:S93) - SUM(T90:T93) - SUM(P90:P93) - V90,0)</f>
        <v>0</v>
      </c>
      <c r="J90" s="626">
        <v>2353020735</v>
      </c>
      <c r="K90" s="629" t="s">
        <v>157</v>
      </c>
      <c r="L90" s="555" t="s">
        <v>146</v>
      </c>
      <c r="M90" s="555"/>
      <c r="N90" s="197">
        <v>44957</v>
      </c>
      <c r="O90" s="551" t="s">
        <v>181</v>
      </c>
      <c r="P90" s="188">
        <v>8775</v>
      </c>
      <c r="Q90" s="189">
        <v>44970</v>
      </c>
      <c r="R90" s="190"/>
      <c r="S90" s="188"/>
      <c r="T90" s="188"/>
      <c r="U90" s="553" t="s">
        <v>344</v>
      </c>
      <c r="V90" s="649">
        <v>5150</v>
      </c>
      <c r="W90" s="559"/>
      <c r="X90" s="108">
        <v>28</v>
      </c>
    </row>
    <row r="91" spans="1:24" s="2" customFormat="1" x14ac:dyDescent="0.3">
      <c r="A91" s="647"/>
      <c r="B91" s="648"/>
      <c r="C91" s="648"/>
      <c r="D91" s="648"/>
      <c r="E91" s="648"/>
      <c r="F91" s="620"/>
      <c r="G91" s="622"/>
      <c r="H91" s="624"/>
      <c r="I91" s="625"/>
      <c r="J91" s="627"/>
      <c r="K91" s="630"/>
      <c r="L91" s="648"/>
      <c r="M91" s="648"/>
      <c r="N91" s="198">
        <v>44985</v>
      </c>
      <c r="O91" s="620"/>
      <c r="P91" s="191">
        <v>8950</v>
      </c>
      <c r="Q91" s="192">
        <v>44995</v>
      </c>
      <c r="R91" s="193"/>
      <c r="S91" s="191"/>
      <c r="T91" s="191"/>
      <c r="U91" s="624"/>
      <c r="V91" s="650"/>
      <c r="W91" s="642"/>
      <c r="X91" s="2">
        <v>28</v>
      </c>
    </row>
    <row r="92" spans="1:24" s="2" customFormat="1" x14ac:dyDescent="0.3">
      <c r="A92" s="647"/>
      <c r="B92" s="648"/>
      <c r="C92" s="648"/>
      <c r="D92" s="648"/>
      <c r="E92" s="648"/>
      <c r="F92" s="620"/>
      <c r="G92" s="622"/>
      <c r="H92" s="624"/>
      <c r="I92" s="625"/>
      <c r="J92" s="627"/>
      <c r="K92" s="630"/>
      <c r="L92" s="648"/>
      <c r="M92" s="648"/>
      <c r="N92" s="198">
        <v>45009</v>
      </c>
      <c r="O92" s="620"/>
      <c r="P92" s="191">
        <v>8625</v>
      </c>
      <c r="Q92" s="192">
        <v>45023</v>
      </c>
      <c r="R92" s="193"/>
      <c r="S92" s="191"/>
      <c r="T92" s="191"/>
      <c r="U92" s="624"/>
      <c r="V92" s="650"/>
      <c r="W92" s="642"/>
      <c r="X92" s="2">
        <v>28</v>
      </c>
    </row>
    <row r="93" spans="1:24" s="2" customFormat="1" x14ac:dyDescent="0.3">
      <c r="A93" s="550"/>
      <c r="B93" s="556"/>
      <c r="C93" s="556"/>
      <c r="D93" s="556"/>
      <c r="E93" s="556"/>
      <c r="F93" s="552"/>
      <c r="G93" s="623"/>
      <c r="H93" s="554"/>
      <c r="I93" s="564"/>
      <c r="J93" s="628"/>
      <c r="K93" s="631"/>
      <c r="L93" s="556"/>
      <c r="M93" s="556"/>
      <c r="N93" s="199"/>
      <c r="O93" s="552"/>
      <c r="P93" s="194"/>
      <c r="Q93" s="195"/>
      <c r="R93" s="196"/>
      <c r="S93" s="194"/>
      <c r="T93" s="194"/>
      <c r="U93" s="554"/>
      <c r="V93" s="651"/>
      <c r="W93" s="560"/>
      <c r="X93" s="2">
        <v>28</v>
      </c>
    </row>
    <row r="94" spans="1:24" s="108" customFormat="1" ht="131.25" customHeight="1" x14ac:dyDescent="0.3">
      <c r="A94" s="685">
        <v>12</v>
      </c>
      <c r="B94" s="694" t="s">
        <v>56</v>
      </c>
      <c r="C94" s="694" t="s">
        <v>146</v>
      </c>
      <c r="D94" s="694" t="s">
        <v>147</v>
      </c>
      <c r="E94" s="694" t="s">
        <v>118</v>
      </c>
      <c r="F94" s="688">
        <v>44951</v>
      </c>
      <c r="G94" s="708" t="s">
        <v>202</v>
      </c>
      <c r="H94" s="691">
        <v>175412.79</v>
      </c>
      <c r="I94" s="711">
        <f>IF(X94 = 29, H94 + SUM(S94:S105) - SUM(T94:T105) - SUM(P94:P105) - V94,0)</f>
        <v>0</v>
      </c>
      <c r="J94" s="714">
        <v>2353020735</v>
      </c>
      <c r="K94" s="717" t="s">
        <v>157</v>
      </c>
      <c r="L94" s="694" t="s">
        <v>146</v>
      </c>
      <c r="M94" s="694"/>
      <c r="N94" s="218">
        <v>44957</v>
      </c>
      <c r="O94" s="688" t="s">
        <v>181</v>
      </c>
      <c r="P94" s="209">
        <v>15204.67</v>
      </c>
      <c r="Q94" s="210">
        <v>44970</v>
      </c>
      <c r="R94" s="211"/>
      <c r="S94" s="209"/>
      <c r="T94" s="209"/>
      <c r="U94" s="691" t="s">
        <v>344</v>
      </c>
      <c r="V94" s="702">
        <v>84149.73</v>
      </c>
      <c r="W94" s="705"/>
      <c r="X94" s="108">
        <v>29</v>
      </c>
    </row>
    <row r="95" spans="1:24" s="2" customFormat="1" x14ac:dyDescent="0.3">
      <c r="A95" s="686"/>
      <c r="B95" s="695"/>
      <c r="C95" s="695"/>
      <c r="D95" s="695"/>
      <c r="E95" s="695"/>
      <c r="F95" s="689"/>
      <c r="G95" s="709"/>
      <c r="H95" s="692"/>
      <c r="I95" s="712"/>
      <c r="J95" s="715"/>
      <c r="K95" s="718"/>
      <c r="L95" s="695"/>
      <c r="M95" s="695"/>
      <c r="N95" s="219">
        <v>44957</v>
      </c>
      <c r="O95" s="689"/>
      <c r="P95" s="212">
        <v>12440.18</v>
      </c>
      <c r="Q95" s="213">
        <v>44970</v>
      </c>
      <c r="R95" s="214"/>
      <c r="S95" s="212"/>
      <c r="T95" s="212"/>
      <c r="U95" s="692"/>
      <c r="V95" s="703"/>
      <c r="W95" s="706"/>
      <c r="X95" s="2">
        <v>29</v>
      </c>
    </row>
    <row r="96" spans="1:24" s="2" customFormat="1" x14ac:dyDescent="0.3">
      <c r="A96" s="686"/>
      <c r="B96" s="695"/>
      <c r="C96" s="695"/>
      <c r="D96" s="695"/>
      <c r="E96" s="695"/>
      <c r="F96" s="689"/>
      <c r="G96" s="709"/>
      <c r="H96" s="692"/>
      <c r="I96" s="712"/>
      <c r="J96" s="715"/>
      <c r="K96" s="718"/>
      <c r="L96" s="695"/>
      <c r="M96" s="695"/>
      <c r="N96" s="219">
        <v>44985</v>
      </c>
      <c r="O96" s="689"/>
      <c r="P96" s="212">
        <v>15431.32</v>
      </c>
      <c r="Q96" s="213">
        <v>44995</v>
      </c>
      <c r="R96" s="214"/>
      <c r="S96" s="212"/>
      <c r="T96" s="212"/>
      <c r="U96" s="692"/>
      <c r="V96" s="703"/>
      <c r="W96" s="706"/>
      <c r="X96" s="2">
        <v>29</v>
      </c>
    </row>
    <row r="97" spans="1:24" s="2" customFormat="1" x14ac:dyDescent="0.3">
      <c r="A97" s="686"/>
      <c r="B97" s="695"/>
      <c r="C97" s="695"/>
      <c r="D97" s="695"/>
      <c r="E97" s="695"/>
      <c r="F97" s="689"/>
      <c r="G97" s="709"/>
      <c r="H97" s="692"/>
      <c r="I97" s="712"/>
      <c r="J97" s="715"/>
      <c r="K97" s="718"/>
      <c r="L97" s="695"/>
      <c r="M97" s="695"/>
      <c r="N97" s="219">
        <v>44985</v>
      </c>
      <c r="O97" s="689"/>
      <c r="P97" s="212">
        <v>12625.62</v>
      </c>
      <c r="Q97" s="213">
        <v>44995</v>
      </c>
      <c r="R97" s="214"/>
      <c r="S97" s="212"/>
      <c r="T97" s="212"/>
      <c r="U97" s="692"/>
      <c r="V97" s="703"/>
      <c r="W97" s="706"/>
      <c r="X97" s="2">
        <v>29</v>
      </c>
    </row>
    <row r="98" spans="1:24" s="2" customFormat="1" x14ac:dyDescent="0.3">
      <c r="A98" s="686"/>
      <c r="B98" s="695"/>
      <c r="C98" s="695"/>
      <c r="D98" s="695"/>
      <c r="E98" s="695"/>
      <c r="F98" s="689"/>
      <c r="G98" s="709"/>
      <c r="H98" s="692"/>
      <c r="I98" s="712"/>
      <c r="J98" s="715"/>
      <c r="K98" s="718"/>
      <c r="L98" s="695"/>
      <c r="M98" s="695"/>
      <c r="N98" s="219">
        <v>45009</v>
      </c>
      <c r="O98" s="689"/>
      <c r="P98" s="212">
        <v>14894.04</v>
      </c>
      <c r="Q98" s="213">
        <v>45023</v>
      </c>
      <c r="R98" s="214"/>
      <c r="S98" s="212"/>
      <c r="T98" s="212"/>
      <c r="U98" s="692"/>
      <c r="V98" s="703"/>
      <c r="W98" s="706"/>
      <c r="X98" s="2">
        <v>29</v>
      </c>
    </row>
    <row r="99" spans="1:24" s="2" customFormat="1" x14ac:dyDescent="0.3">
      <c r="A99" s="686"/>
      <c r="B99" s="695"/>
      <c r="C99" s="695"/>
      <c r="D99" s="695"/>
      <c r="E99" s="695"/>
      <c r="F99" s="689"/>
      <c r="G99" s="709"/>
      <c r="H99" s="692"/>
      <c r="I99" s="712"/>
      <c r="J99" s="715"/>
      <c r="K99" s="718"/>
      <c r="L99" s="695"/>
      <c r="M99" s="695"/>
      <c r="N99" s="219">
        <v>45009</v>
      </c>
      <c r="O99" s="689"/>
      <c r="P99" s="212">
        <v>12186.03</v>
      </c>
      <c r="Q99" s="213">
        <v>45023</v>
      </c>
      <c r="R99" s="214"/>
      <c r="S99" s="212"/>
      <c r="T99" s="212"/>
      <c r="U99" s="692"/>
      <c r="V99" s="703"/>
      <c r="W99" s="706"/>
      <c r="X99" s="2">
        <v>29</v>
      </c>
    </row>
    <row r="100" spans="1:24" s="2" customFormat="1" x14ac:dyDescent="0.3">
      <c r="A100" s="686"/>
      <c r="B100" s="695"/>
      <c r="C100" s="695"/>
      <c r="D100" s="695"/>
      <c r="E100" s="695"/>
      <c r="F100" s="689"/>
      <c r="G100" s="709"/>
      <c r="H100" s="692"/>
      <c r="I100" s="712"/>
      <c r="J100" s="715"/>
      <c r="K100" s="718"/>
      <c r="L100" s="695"/>
      <c r="M100" s="695"/>
      <c r="N100" s="219">
        <v>45064</v>
      </c>
      <c r="O100" s="689"/>
      <c r="P100" s="212">
        <v>1531.53</v>
      </c>
      <c r="Q100" s="213">
        <v>45064</v>
      </c>
      <c r="R100" s="214"/>
      <c r="S100" s="212"/>
      <c r="T100" s="212"/>
      <c r="U100" s="692"/>
      <c r="V100" s="703"/>
      <c r="W100" s="706"/>
      <c r="X100" s="2">
        <v>29</v>
      </c>
    </row>
    <row r="101" spans="1:24" s="2" customFormat="1" x14ac:dyDescent="0.3">
      <c r="A101" s="686"/>
      <c r="B101" s="695"/>
      <c r="C101" s="695"/>
      <c r="D101" s="695"/>
      <c r="E101" s="695"/>
      <c r="F101" s="689"/>
      <c r="G101" s="709"/>
      <c r="H101" s="692"/>
      <c r="I101" s="712"/>
      <c r="J101" s="715"/>
      <c r="K101" s="718"/>
      <c r="L101" s="695"/>
      <c r="M101" s="695"/>
      <c r="N101" s="219">
        <v>45064</v>
      </c>
      <c r="O101" s="689"/>
      <c r="P101" s="212">
        <v>1253.07</v>
      </c>
      <c r="Q101" s="213">
        <v>45064</v>
      </c>
      <c r="R101" s="214"/>
      <c r="S101" s="212"/>
      <c r="T101" s="212"/>
      <c r="U101" s="692"/>
      <c r="V101" s="703"/>
      <c r="W101" s="706"/>
      <c r="X101" s="2">
        <v>29</v>
      </c>
    </row>
    <row r="102" spans="1:24" s="2" customFormat="1" x14ac:dyDescent="0.3">
      <c r="A102" s="686"/>
      <c r="B102" s="695"/>
      <c r="C102" s="695"/>
      <c r="D102" s="695"/>
      <c r="E102" s="695"/>
      <c r="F102" s="689"/>
      <c r="G102" s="709"/>
      <c r="H102" s="692"/>
      <c r="I102" s="712"/>
      <c r="J102" s="715"/>
      <c r="K102" s="718"/>
      <c r="L102" s="695"/>
      <c r="M102" s="695"/>
      <c r="N102" s="219">
        <v>45064</v>
      </c>
      <c r="O102" s="689"/>
      <c r="P102" s="212">
        <v>1601.6</v>
      </c>
      <c r="Q102" s="213">
        <v>45064</v>
      </c>
      <c r="R102" s="214"/>
      <c r="S102" s="212"/>
      <c r="T102" s="212"/>
      <c r="U102" s="692"/>
      <c r="V102" s="703"/>
      <c r="W102" s="706"/>
      <c r="X102" s="2">
        <v>29</v>
      </c>
    </row>
    <row r="103" spans="1:24" s="2" customFormat="1" x14ac:dyDescent="0.3">
      <c r="A103" s="686"/>
      <c r="B103" s="695"/>
      <c r="C103" s="695"/>
      <c r="D103" s="695"/>
      <c r="E103" s="695"/>
      <c r="F103" s="689"/>
      <c r="G103" s="709"/>
      <c r="H103" s="692"/>
      <c r="I103" s="712"/>
      <c r="J103" s="715"/>
      <c r="K103" s="718"/>
      <c r="L103" s="695"/>
      <c r="M103" s="695"/>
      <c r="N103" s="219">
        <v>45064</v>
      </c>
      <c r="O103" s="689"/>
      <c r="P103" s="212">
        <v>1310.4000000000001</v>
      </c>
      <c r="Q103" s="213">
        <v>45064</v>
      </c>
      <c r="R103" s="214"/>
      <c r="S103" s="212"/>
      <c r="T103" s="212"/>
      <c r="U103" s="692"/>
      <c r="V103" s="703"/>
      <c r="W103" s="706"/>
      <c r="X103" s="2">
        <v>29</v>
      </c>
    </row>
    <row r="104" spans="1:24" s="2" customFormat="1" x14ac:dyDescent="0.3">
      <c r="A104" s="686"/>
      <c r="B104" s="695"/>
      <c r="C104" s="695"/>
      <c r="D104" s="695"/>
      <c r="E104" s="695"/>
      <c r="F104" s="689"/>
      <c r="G104" s="709"/>
      <c r="H104" s="692"/>
      <c r="I104" s="712"/>
      <c r="J104" s="715"/>
      <c r="K104" s="718"/>
      <c r="L104" s="695"/>
      <c r="M104" s="695"/>
      <c r="N104" s="219">
        <v>45064</v>
      </c>
      <c r="O104" s="689"/>
      <c r="P104" s="212">
        <v>1531.53</v>
      </c>
      <c r="Q104" s="213">
        <v>45064</v>
      </c>
      <c r="R104" s="214"/>
      <c r="S104" s="212"/>
      <c r="T104" s="212"/>
      <c r="U104" s="692"/>
      <c r="V104" s="703"/>
      <c r="W104" s="706"/>
      <c r="X104" s="2">
        <v>29</v>
      </c>
    </row>
    <row r="105" spans="1:24" s="2" customFormat="1" x14ac:dyDescent="0.3">
      <c r="A105" s="687"/>
      <c r="B105" s="696"/>
      <c r="C105" s="696"/>
      <c r="D105" s="696"/>
      <c r="E105" s="696"/>
      <c r="F105" s="690"/>
      <c r="G105" s="710"/>
      <c r="H105" s="693"/>
      <c r="I105" s="713"/>
      <c r="J105" s="716"/>
      <c r="K105" s="719"/>
      <c r="L105" s="696"/>
      <c r="M105" s="696"/>
      <c r="N105" s="220">
        <v>45064</v>
      </c>
      <c r="O105" s="690"/>
      <c r="P105" s="215">
        <v>1253.07</v>
      </c>
      <c r="Q105" s="216">
        <v>45064</v>
      </c>
      <c r="R105" s="217"/>
      <c r="S105" s="215"/>
      <c r="T105" s="215"/>
      <c r="U105" s="693"/>
      <c r="V105" s="704"/>
      <c r="W105" s="707"/>
      <c r="X105" s="2">
        <v>29</v>
      </c>
    </row>
    <row r="106" spans="1:24" s="108" customFormat="1" ht="108" x14ac:dyDescent="0.3">
      <c r="A106" s="124">
        <v>13</v>
      </c>
      <c r="B106" s="125" t="s">
        <v>56</v>
      </c>
      <c r="C106" s="125" t="s">
        <v>146</v>
      </c>
      <c r="D106" s="125" t="s">
        <v>147</v>
      </c>
      <c r="E106" s="125" t="s">
        <v>123</v>
      </c>
      <c r="F106" s="135">
        <v>44984</v>
      </c>
      <c r="G106" s="126" t="s">
        <v>224</v>
      </c>
      <c r="H106" s="127">
        <v>7270</v>
      </c>
      <c r="I106" s="128">
        <f>IF(X106 = 30, H106 + SUM(S106:S106) - SUM(T106:T106) - SUM(P106:P106) - V106,0)</f>
        <v>0</v>
      </c>
      <c r="J106" s="129">
        <v>235002152355</v>
      </c>
      <c r="K106" s="130" t="s">
        <v>225</v>
      </c>
      <c r="L106" s="125" t="s">
        <v>146</v>
      </c>
      <c r="M106" s="125"/>
      <c r="N106" s="135">
        <v>44986</v>
      </c>
      <c r="O106" s="135" t="s">
        <v>181</v>
      </c>
      <c r="P106" s="127">
        <v>7270</v>
      </c>
      <c r="Q106" s="126">
        <v>44986</v>
      </c>
      <c r="R106" s="125"/>
      <c r="S106" s="127"/>
      <c r="T106" s="127"/>
      <c r="U106" s="127"/>
      <c r="V106" s="131"/>
      <c r="W106" s="133"/>
      <c r="X106" s="108">
        <v>30</v>
      </c>
    </row>
    <row r="107" spans="1:24" s="108" customFormat="1" ht="131.25" customHeight="1" x14ac:dyDescent="0.3">
      <c r="A107" s="549">
        <v>14</v>
      </c>
      <c r="B107" s="555" t="s">
        <v>56</v>
      </c>
      <c r="C107" s="555" t="s">
        <v>146</v>
      </c>
      <c r="D107" s="555" t="s">
        <v>147</v>
      </c>
      <c r="E107" s="555" t="s">
        <v>121</v>
      </c>
      <c r="F107" s="551">
        <v>44986</v>
      </c>
      <c r="G107" s="621" t="s">
        <v>234</v>
      </c>
      <c r="H107" s="553">
        <v>171142.39999999999</v>
      </c>
      <c r="I107" s="563">
        <f>IF(X107 = 31, H107 + SUM(S107:S112) - SUM(T107:T112) - SUM(P107:P112) - V107,0)</f>
        <v>-7.2759576141834259E-12</v>
      </c>
      <c r="J107" s="626">
        <v>2353020735</v>
      </c>
      <c r="K107" s="629" t="s">
        <v>157</v>
      </c>
      <c r="L107" s="555" t="s">
        <v>146</v>
      </c>
      <c r="M107" s="555"/>
      <c r="N107" s="197">
        <v>44988</v>
      </c>
      <c r="O107" s="551" t="s">
        <v>235</v>
      </c>
      <c r="P107" s="188">
        <v>24442.46</v>
      </c>
      <c r="Q107" s="189">
        <v>45002</v>
      </c>
      <c r="R107" s="190"/>
      <c r="S107" s="188"/>
      <c r="T107" s="188"/>
      <c r="U107" s="553" t="s">
        <v>344</v>
      </c>
      <c r="V107" s="649">
        <v>26836.21</v>
      </c>
      <c r="W107" s="559"/>
      <c r="X107" s="108">
        <v>31</v>
      </c>
    </row>
    <row r="108" spans="1:24" s="2" customFormat="1" x14ac:dyDescent="0.3">
      <c r="A108" s="647"/>
      <c r="B108" s="648"/>
      <c r="C108" s="648"/>
      <c r="D108" s="648"/>
      <c r="E108" s="648"/>
      <c r="F108" s="620"/>
      <c r="G108" s="622"/>
      <c r="H108" s="624"/>
      <c r="I108" s="625"/>
      <c r="J108" s="627"/>
      <c r="K108" s="630"/>
      <c r="L108" s="648"/>
      <c r="M108" s="648"/>
      <c r="N108" s="198">
        <v>44988</v>
      </c>
      <c r="O108" s="620"/>
      <c r="P108" s="191">
        <v>1560.19</v>
      </c>
      <c r="Q108" s="192">
        <v>45002</v>
      </c>
      <c r="R108" s="193"/>
      <c r="S108" s="191"/>
      <c r="T108" s="191"/>
      <c r="U108" s="624"/>
      <c r="V108" s="650"/>
      <c r="W108" s="642"/>
      <c r="X108" s="2">
        <v>31</v>
      </c>
    </row>
    <row r="109" spans="1:24" s="2" customFormat="1" x14ac:dyDescent="0.3">
      <c r="A109" s="647"/>
      <c r="B109" s="648"/>
      <c r="C109" s="648"/>
      <c r="D109" s="648"/>
      <c r="E109" s="648"/>
      <c r="F109" s="620"/>
      <c r="G109" s="622"/>
      <c r="H109" s="624"/>
      <c r="I109" s="625"/>
      <c r="J109" s="627"/>
      <c r="K109" s="630"/>
      <c r="L109" s="648"/>
      <c r="M109" s="648"/>
      <c r="N109" s="198">
        <v>45002</v>
      </c>
      <c r="O109" s="620"/>
      <c r="P109" s="191">
        <v>67674.67</v>
      </c>
      <c r="Q109" s="192">
        <v>45007</v>
      </c>
      <c r="R109" s="193"/>
      <c r="S109" s="191"/>
      <c r="T109" s="191"/>
      <c r="U109" s="624"/>
      <c r="V109" s="650"/>
      <c r="W109" s="642"/>
      <c r="X109" s="2">
        <v>31</v>
      </c>
    </row>
    <row r="110" spans="1:24" s="2" customFormat="1" x14ac:dyDescent="0.3">
      <c r="A110" s="647"/>
      <c r="B110" s="648"/>
      <c r="C110" s="648"/>
      <c r="D110" s="648"/>
      <c r="E110" s="648"/>
      <c r="F110" s="620"/>
      <c r="G110" s="622"/>
      <c r="H110" s="624"/>
      <c r="I110" s="625"/>
      <c r="J110" s="627"/>
      <c r="K110" s="630"/>
      <c r="L110" s="648"/>
      <c r="M110" s="648"/>
      <c r="N110" s="198">
        <v>45002</v>
      </c>
      <c r="O110" s="620"/>
      <c r="P110" s="191">
        <v>4319.75</v>
      </c>
      <c r="Q110" s="192">
        <v>45007</v>
      </c>
      <c r="R110" s="193"/>
      <c r="S110" s="191"/>
      <c r="T110" s="191"/>
      <c r="U110" s="624"/>
      <c r="V110" s="650"/>
      <c r="W110" s="642"/>
      <c r="X110" s="2">
        <v>31</v>
      </c>
    </row>
    <row r="111" spans="1:24" s="2" customFormat="1" x14ac:dyDescent="0.3">
      <c r="A111" s="647"/>
      <c r="B111" s="648"/>
      <c r="C111" s="648"/>
      <c r="D111" s="648"/>
      <c r="E111" s="648"/>
      <c r="F111" s="620"/>
      <c r="G111" s="622"/>
      <c r="H111" s="624"/>
      <c r="I111" s="625"/>
      <c r="J111" s="627"/>
      <c r="K111" s="630"/>
      <c r="L111" s="648"/>
      <c r="M111" s="648"/>
      <c r="N111" s="198">
        <v>45009</v>
      </c>
      <c r="O111" s="620"/>
      <c r="P111" s="191">
        <v>43530.52</v>
      </c>
      <c r="Q111" s="192">
        <v>45026</v>
      </c>
      <c r="R111" s="193"/>
      <c r="S111" s="191"/>
      <c r="T111" s="191"/>
      <c r="U111" s="624"/>
      <c r="V111" s="650"/>
      <c r="W111" s="642"/>
      <c r="X111" s="2">
        <v>31</v>
      </c>
    </row>
    <row r="112" spans="1:24" s="2" customFormat="1" x14ac:dyDescent="0.3">
      <c r="A112" s="550"/>
      <c r="B112" s="556"/>
      <c r="C112" s="556"/>
      <c r="D112" s="556"/>
      <c r="E112" s="556"/>
      <c r="F112" s="552"/>
      <c r="G112" s="623"/>
      <c r="H112" s="554"/>
      <c r="I112" s="564"/>
      <c r="J112" s="628"/>
      <c r="K112" s="631"/>
      <c r="L112" s="556"/>
      <c r="M112" s="556"/>
      <c r="N112" s="199">
        <v>45009</v>
      </c>
      <c r="O112" s="552"/>
      <c r="P112" s="194">
        <v>2778.6</v>
      </c>
      <c r="Q112" s="195">
        <v>45026</v>
      </c>
      <c r="R112" s="196"/>
      <c r="S112" s="194"/>
      <c r="T112" s="194"/>
      <c r="U112" s="554"/>
      <c r="V112" s="651"/>
      <c r="W112" s="560"/>
      <c r="X112" s="2">
        <v>31</v>
      </c>
    </row>
    <row r="113" spans="1:24" s="108" customFormat="1" ht="131.25" customHeight="1" x14ac:dyDescent="0.3">
      <c r="A113" s="597">
        <v>15</v>
      </c>
      <c r="B113" s="494" t="s">
        <v>56</v>
      </c>
      <c r="C113" s="494" t="s">
        <v>146</v>
      </c>
      <c r="D113" s="494" t="s">
        <v>147</v>
      </c>
      <c r="E113" s="494" t="s">
        <v>122</v>
      </c>
      <c r="F113" s="571">
        <v>44986</v>
      </c>
      <c r="G113" s="643" t="s">
        <v>236</v>
      </c>
      <c r="H113" s="496">
        <v>55250</v>
      </c>
      <c r="I113" s="498">
        <f>IF(X113 = 32, H113 + SUM(S113:S115) - SUM(T113:T115) - SUM(P113:P115) - V113,0)</f>
        <v>0</v>
      </c>
      <c r="J113" s="653">
        <v>2353020735</v>
      </c>
      <c r="K113" s="656" t="s">
        <v>157</v>
      </c>
      <c r="L113" s="494" t="s">
        <v>146</v>
      </c>
      <c r="M113" s="494"/>
      <c r="N113" s="163">
        <v>44988</v>
      </c>
      <c r="O113" s="571" t="s">
        <v>235</v>
      </c>
      <c r="P113" s="164">
        <v>8625</v>
      </c>
      <c r="Q113" s="165">
        <v>44995</v>
      </c>
      <c r="R113" s="166"/>
      <c r="S113" s="164"/>
      <c r="T113" s="164"/>
      <c r="U113" s="496" t="s">
        <v>344</v>
      </c>
      <c r="V113" s="639">
        <v>6025</v>
      </c>
      <c r="W113" s="567"/>
      <c r="X113" s="108">
        <v>32</v>
      </c>
    </row>
    <row r="114" spans="1:24" s="2" customFormat="1" x14ac:dyDescent="0.3">
      <c r="A114" s="635"/>
      <c r="B114" s="638"/>
      <c r="C114" s="638"/>
      <c r="D114" s="638"/>
      <c r="E114" s="638"/>
      <c r="F114" s="636"/>
      <c r="G114" s="644"/>
      <c r="H114" s="637"/>
      <c r="I114" s="646"/>
      <c r="J114" s="654"/>
      <c r="K114" s="657"/>
      <c r="L114" s="638"/>
      <c r="M114" s="638"/>
      <c r="N114" s="171">
        <v>45002</v>
      </c>
      <c r="O114" s="636"/>
      <c r="P114" s="172">
        <v>25650</v>
      </c>
      <c r="Q114" s="173">
        <v>45007</v>
      </c>
      <c r="R114" s="174"/>
      <c r="S114" s="172"/>
      <c r="T114" s="172"/>
      <c r="U114" s="637"/>
      <c r="V114" s="640"/>
      <c r="W114" s="652"/>
      <c r="X114" s="2">
        <v>32</v>
      </c>
    </row>
    <row r="115" spans="1:24" s="2" customFormat="1" x14ac:dyDescent="0.3">
      <c r="A115" s="598"/>
      <c r="B115" s="495"/>
      <c r="C115" s="495"/>
      <c r="D115" s="495"/>
      <c r="E115" s="495"/>
      <c r="F115" s="572"/>
      <c r="G115" s="645"/>
      <c r="H115" s="497"/>
      <c r="I115" s="499"/>
      <c r="J115" s="655"/>
      <c r="K115" s="658"/>
      <c r="L115" s="495"/>
      <c r="M115" s="495"/>
      <c r="N115" s="167">
        <v>45009</v>
      </c>
      <c r="O115" s="572"/>
      <c r="P115" s="168">
        <v>14950</v>
      </c>
      <c r="Q115" s="169">
        <v>45016</v>
      </c>
      <c r="R115" s="170"/>
      <c r="S115" s="168"/>
      <c r="T115" s="168"/>
      <c r="U115" s="497"/>
      <c r="V115" s="641"/>
      <c r="W115" s="568"/>
      <c r="X115" s="2">
        <v>32</v>
      </c>
    </row>
    <row r="116" spans="1:24" s="108" customFormat="1" ht="131.25" customHeight="1" x14ac:dyDescent="0.3">
      <c r="A116" s="597">
        <v>16</v>
      </c>
      <c r="B116" s="494" t="s">
        <v>56</v>
      </c>
      <c r="C116" s="494" t="s">
        <v>146</v>
      </c>
      <c r="D116" s="494" t="s">
        <v>147</v>
      </c>
      <c r="E116" s="494" t="s">
        <v>119</v>
      </c>
      <c r="F116" s="571">
        <v>44991</v>
      </c>
      <c r="G116" s="643" t="s">
        <v>237</v>
      </c>
      <c r="H116" s="496">
        <v>2600</v>
      </c>
      <c r="I116" s="498">
        <f>IF(X116 = 33, H116 + SUM(S116:S118) - SUM(T116:T118) - SUM(P116:P118) - V116,0)</f>
        <v>0</v>
      </c>
      <c r="J116" s="653">
        <v>2353020735</v>
      </c>
      <c r="K116" s="656" t="s">
        <v>157</v>
      </c>
      <c r="L116" s="494" t="s">
        <v>146</v>
      </c>
      <c r="M116" s="494"/>
      <c r="N116" s="163">
        <v>44985</v>
      </c>
      <c r="O116" s="571" t="s">
        <v>235</v>
      </c>
      <c r="P116" s="164">
        <v>575</v>
      </c>
      <c r="Q116" s="165">
        <v>44995</v>
      </c>
      <c r="R116" s="166"/>
      <c r="S116" s="164"/>
      <c r="T116" s="164"/>
      <c r="U116" s="496" t="s">
        <v>344</v>
      </c>
      <c r="V116" s="639">
        <v>600</v>
      </c>
      <c r="W116" s="567"/>
      <c r="X116" s="108">
        <v>33</v>
      </c>
    </row>
    <row r="117" spans="1:24" s="2" customFormat="1" x14ac:dyDescent="0.3">
      <c r="A117" s="635"/>
      <c r="B117" s="638"/>
      <c r="C117" s="638"/>
      <c r="D117" s="638"/>
      <c r="E117" s="638"/>
      <c r="F117" s="636"/>
      <c r="G117" s="644"/>
      <c r="H117" s="637"/>
      <c r="I117" s="646"/>
      <c r="J117" s="654"/>
      <c r="K117" s="657"/>
      <c r="L117" s="638"/>
      <c r="M117" s="638"/>
      <c r="N117" s="171">
        <v>44985</v>
      </c>
      <c r="O117" s="636"/>
      <c r="P117" s="172">
        <v>825</v>
      </c>
      <c r="Q117" s="173">
        <v>44999</v>
      </c>
      <c r="R117" s="174"/>
      <c r="S117" s="172"/>
      <c r="T117" s="172"/>
      <c r="U117" s="637"/>
      <c r="V117" s="640"/>
      <c r="W117" s="652"/>
      <c r="X117" s="2">
        <v>33</v>
      </c>
    </row>
    <row r="118" spans="1:24" s="2" customFormat="1" x14ac:dyDescent="0.3">
      <c r="A118" s="598"/>
      <c r="B118" s="495"/>
      <c r="C118" s="495"/>
      <c r="D118" s="495"/>
      <c r="E118" s="495"/>
      <c r="F118" s="572"/>
      <c r="G118" s="645"/>
      <c r="H118" s="497"/>
      <c r="I118" s="499"/>
      <c r="J118" s="655"/>
      <c r="K118" s="658"/>
      <c r="L118" s="495"/>
      <c r="M118" s="495"/>
      <c r="N118" s="167">
        <v>45009</v>
      </c>
      <c r="O118" s="572"/>
      <c r="P118" s="168">
        <v>600</v>
      </c>
      <c r="Q118" s="169">
        <v>45016</v>
      </c>
      <c r="R118" s="170"/>
      <c r="S118" s="168"/>
      <c r="T118" s="168"/>
      <c r="U118" s="497"/>
      <c r="V118" s="641"/>
      <c r="W118" s="568"/>
      <c r="X118" s="2">
        <v>33</v>
      </c>
    </row>
    <row r="119" spans="1:24" s="108" customFormat="1" ht="131.25" customHeight="1" x14ac:dyDescent="0.3">
      <c r="A119" s="549">
        <v>17</v>
      </c>
      <c r="B119" s="555" t="s">
        <v>56</v>
      </c>
      <c r="C119" s="555" t="s">
        <v>146</v>
      </c>
      <c r="D119" s="555" t="s">
        <v>147</v>
      </c>
      <c r="E119" s="555" t="s">
        <v>120</v>
      </c>
      <c r="F119" s="551">
        <v>44991</v>
      </c>
      <c r="G119" s="621" t="s">
        <v>237</v>
      </c>
      <c r="H119" s="553">
        <v>7895.68</v>
      </c>
      <c r="I119" s="563">
        <f>IF(X119 = 34, H119 + SUM(S119:S121) - SUM(T119:T121) - SUM(P119:P121) - V119,0)</f>
        <v>0</v>
      </c>
      <c r="J119" s="626">
        <v>2353020735</v>
      </c>
      <c r="K119" s="629" t="s">
        <v>157</v>
      </c>
      <c r="L119" s="555" t="s">
        <v>146</v>
      </c>
      <c r="M119" s="555"/>
      <c r="N119" s="197">
        <v>44985</v>
      </c>
      <c r="O119" s="551" t="s">
        <v>235</v>
      </c>
      <c r="P119" s="188">
        <v>1746.16</v>
      </c>
      <c r="Q119" s="189">
        <v>45002</v>
      </c>
      <c r="R119" s="190"/>
      <c r="S119" s="188"/>
      <c r="T119" s="188"/>
      <c r="U119" s="553" t="s">
        <v>344</v>
      </c>
      <c r="V119" s="649">
        <v>1822.08</v>
      </c>
      <c r="W119" s="559"/>
      <c r="X119" s="108">
        <v>34</v>
      </c>
    </row>
    <row r="120" spans="1:24" s="2" customFormat="1" x14ac:dyDescent="0.3">
      <c r="A120" s="647"/>
      <c r="B120" s="648"/>
      <c r="C120" s="648"/>
      <c r="D120" s="648"/>
      <c r="E120" s="648"/>
      <c r="F120" s="620"/>
      <c r="G120" s="622"/>
      <c r="H120" s="624"/>
      <c r="I120" s="625"/>
      <c r="J120" s="627"/>
      <c r="K120" s="630"/>
      <c r="L120" s="648"/>
      <c r="M120" s="648"/>
      <c r="N120" s="198">
        <v>44985</v>
      </c>
      <c r="O120" s="620"/>
      <c r="P120" s="191">
        <v>2505.36</v>
      </c>
      <c r="Q120" s="192">
        <v>45005</v>
      </c>
      <c r="R120" s="193"/>
      <c r="S120" s="191"/>
      <c r="T120" s="191"/>
      <c r="U120" s="624"/>
      <c r="V120" s="650"/>
      <c r="W120" s="642"/>
      <c r="X120" s="2">
        <v>34</v>
      </c>
    </row>
    <row r="121" spans="1:24" s="2" customFormat="1" x14ac:dyDescent="0.3">
      <c r="A121" s="550"/>
      <c r="B121" s="556"/>
      <c r="C121" s="556"/>
      <c r="D121" s="556"/>
      <c r="E121" s="556"/>
      <c r="F121" s="552"/>
      <c r="G121" s="623"/>
      <c r="H121" s="554"/>
      <c r="I121" s="564"/>
      <c r="J121" s="628"/>
      <c r="K121" s="631"/>
      <c r="L121" s="556"/>
      <c r="M121" s="556"/>
      <c r="N121" s="199">
        <v>45009</v>
      </c>
      <c r="O121" s="552"/>
      <c r="P121" s="194">
        <v>1822.08</v>
      </c>
      <c r="Q121" s="195">
        <v>45023</v>
      </c>
      <c r="R121" s="196"/>
      <c r="S121" s="194"/>
      <c r="T121" s="194"/>
      <c r="U121" s="554"/>
      <c r="V121" s="651"/>
      <c r="W121" s="560"/>
      <c r="X121" s="2">
        <v>34</v>
      </c>
    </row>
    <row r="122" spans="1:24" s="108" customFormat="1" ht="108" x14ac:dyDescent="0.3">
      <c r="A122" s="151">
        <v>18</v>
      </c>
      <c r="B122" s="152" t="s">
        <v>56</v>
      </c>
      <c r="C122" s="152" t="s">
        <v>146</v>
      </c>
      <c r="D122" s="152" t="s">
        <v>147</v>
      </c>
      <c r="E122" s="152" t="s">
        <v>247</v>
      </c>
      <c r="F122" s="162">
        <v>45005</v>
      </c>
      <c r="G122" s="153" t="s">
        <v>248</v>
      </c>
      <c r="H122" s="154">
        <v>13125</v>
      </c>
      <c r="I122" s="155">
        <f>IF(X122 = 35, H122 + SUM(S122:S122) - SUM(T122:T122) - SUM(P122:P122) - V122,0)</f>
        <v>0</v>
      </c>
      <c r="J122" s="158">
        <v>235002152355</v>
      </c>
      <c r="K122" s="159" t="s">
        <v>225</v>
      </c>
      <c r="L122" s="152" t="s">
        <v>146</v>
      </c>
      <c r="M122" s="152"/>
      <c r="N122" s="162">
        <v>45005</v>
      </c>
      <c r="O122" s="162" t="s">
        <v>235</v>
      </c>
      <c r="P122" s="154">
        <v>13125</v>
      </c>
      <c r="Q122" s="153">
        <v>45006</v>
      </c>
      <c r="R122" s="152"/>
      <c r="S122" s="154"/>
      <c r="T122" s="154"/>
      <c r="U122" s="154"/>
      <c r="V122" s="160"/>
      <c r="W122" s="157"/>
      <c r="X122" s="108">
        <v>35</v>
      </c>
    </row>
    <row r="123" spans="1:24" s="108" customFormat="1" ht="108" x14ac:dyDescent="0.3">
      <c r="A123" s="151">
        <v>19</v>
      </c>
      <c r="B123" s="152" t="s">
        <v>56</v>
      </c>
      <c r="C123" s="152" t="s">
        <v>146</v>
      </c>
      <c r="D123" s="152" t="s">
        <v>147</v>
      </c>
      <c r="E123" s="152" t="s">
        <v>126</v>
      </c>
      <c r="F123" s="162">
        <v>45001</v>
      </c>
      <c r="G123" s="153" t="s">
        <v>249</v>
      </c>
      <c r="H123" s="154">
        <v>4760</v>
      </c>
      <c r="I123" s="155">
        <f>IF(X123 = 36, H123 + SUM(S123:S123) - SUM(T123:T123) - SUM(P123:P123) - V123,0)</f>
        <v>0</v>
      </c>
      <c r="J123" s="158">
        <v>235002152355</v>
      </c>
      <c r="K123" s="159" t="s">
        <v>225</v>
      </c>
      <c r="L123" s="152" t="s">
        <v>146</v>
      </c>
      <c r="M123" s="152"/>
      <c r="N123" s="162">
        <v>45001</v>
      </c>
      <c r="O123" s="162" t="s">
        <v>235</v>
      </c>
      <c r="P123" s="154">
        <v>4760</v>
      </c>
      <c r="Q123" s="153">
        <v>45002</v>
      </c>
      <c r="R123" s="152"/>
      <c r="S123" s="154"/>
      <c r="T123" s="154"/>
      <c r="U123" s="154"/>
      <c r="V123" s="160"/>
      <c r="W123" s="157"/>
      <c r="X123" s="108">
        <v>36</v>
      </c>
    </row>
    <row r="124" spans="1:24" s="108" customFormat="1" ht="131.25" customHeight="1" x14ac:dyDescent="0.3">
      <c r="A124" s="549">
        <v>20</v>
      </c>
      <c r="B124" s="555" t="s">
        <v>56</v>
      </c>
      <c r="C124" s="555" t="s">
        <v>146</v>
      </c>
      <c r="D124" s="555" t="s">
        <v>147</v>
      </c>
      <c r="E124" s="555" t="s">
        <v>128</v>
      </c>
      <c r="F124" s="551">
        <v>45016</v>
      </c>
      <c r="G124" s="621" t="s">
        <v>265</v>
      </c>
      <c r="H124" s="553">
        <v>46464</v>
      </c>
      <c r="I124" s="563">
        <f>IF(X124 = 38, H124 + SUM(S124:S125) - SUM(T124:T125) - SUM(P124:P125) - V124,0)</f>
        <v>0</v>
      </c>
      <c r="J124" s="626">
        <v>2353020735</v>
      </c>
      <c r="K124" s="629" t="s">
        <v>157</v>
      </c>
      <c r="L124" s="555" t="s">
        <v>146</v>
      </c>
      <c r="M124" s="555"/>
      <c r="N124" s="197">
        <v>45023</v>
      </c>
      <c r="O124" s="551" t="s">
        <v>235</v>
      </c>
      <c r="P124" s="188">
        <v>43676.11</v>
      </c>
      <c r="Q124" s="189">
        <v>45033</v>
      </c>
      <c r="R124" s="190"/>
      <c r="S124" s="188"/>
      <c r="T124" s="188"/>
      <c r="U124" s="553"/>
      <c r="V124" s="649"/>
      <c r="W124" s="559"/>
      <c r="X124" s="108">
        <v>38</v>
      </c>
    </row>
    <row r="125" spans="1:24" s="2" customFormat="1" x14ac:dyDescent="0.3">
      <c r="A125" s="550"/>
      <c r="B125" s="556"/>
      <c r="C125" s="556"/>
      <c r="D125" s="556"/>
      <c r="E125" s="556"/>
      <c r="F125" s="552"/>
      <c r="G125" s="623"/>
      <c r="H125" s="554"/>
      <c r="I125" s="564"/>
      <c r="J125" s="628"/>
      <c r="K125" s="631"/>
      <c r="L125" s="556"/>
      <c r="M125" s="556"/>
      <c r="N125" s="199">
        <v>45023</v>
      </c>
      <c r="O125" s="552"/>
      <c r="P125" s="194">
        <v>2787.89</v>
      </c>
      <c r="Q125" s="195">
        <v>45033</v>
      </c>
      <c r="R125" s="196"/>
      <c r="S125" s="194"/>
      <c r="T125" s="194"/>
      <c r="U125" s="554"/>
      <c r="V125" s="651"/>
      <c r="W125" s="560"/>
      <c r="X125" s="2">
        <v>38</v>
      </c>
    </row>
    <row r="126" spans="1:24" s="108" customFormat="1" ht="108" x14ac:dyDescent="0.3">
      <c r="A126" s="177">
        <v>21</v>
      </c>
      <c r="B126" s="178" t="s">
        <v>56</v>
      </c>
      <c r="C126" s="178" t="s">
        <v>146</v>
      </c>
      <c r="D126" s="178" t="s">
        <v>147</v>
      </c>
      <c r="E126" s="178" t="s">
        <v>129</v>
      </c>
      <c r="F126" s="184">
        <v>45016</v>
      </c>
      <c r="G126" s="182" t="s">
        <v>265</v>
      </c>
      <c r="H126" s="180">
        <v>15000</v>
      </c>
      <c r="I126" s="181">
        <f>IF(X126 = 39, H126 + SUM(S126:S126) - SUM(T126:T126) - SUM(P126:P126) - V126,0)</f>
        <v>0</v>
      </c>
      <c r="J126" s="185">
        <v>2353020735</v>
      </c>
      <c r="K126" s="186" t="s">
        <v>157</v>
      </c>
      <c r="L126" s="178" t="s">
        <v>146</v>
      </c>
      <c r="M126" s="178"/>
      <c r="N126" s="184">
        <v>45023</v>
      </c>
      <c r="O126" s="184" t="s">
        <v>235</v>
      </c>
      <c r="P126" s="180">
        <v>15000</v>
      </c>
      <c r="Q126" s="182">
        <v>45033</v>
      </c>
      <c r="R126" s="178"/>
      <c r="S126" s="180"/>
      <c r="T126" s="180"/>
      <c r="U126" s="180"/>
      <c r="V126" s="187"/>
      <c r="W126" s="175"/>
      <c r="X126" s="108">
        <v>39</v>
      </c>
    </row>
    <row r="127" spans="1:24" s="108" customFormat="1" ht="108" x14ac:dyDescent="0.3">
      <c r="A127" s="177">
        <v>22</v>
      </c>
      <c r="B127" s="178" t="s">
        <v>56</v>
      </c>
      <c r="C127" s="178" t="s">
        <v>146</v>
      </c>
      <c r="D127" s="178" t="s">
        <v>147</v>
      </c>
      <c r="E127" s="178" t="s">
        <v>274</v>
      </c>
      <c r="F127" s="184">
        <v>45021</v>
      </c>
      <c r="G127" s="182" t="s">
        <v>224</v>
      </c>
      <c r="H127" s="180">
        <v>5700</v>
      </c>
      <c r="I127" s="181">
        <f>IF(X127 = 40, H127 + SUM(S127:S127) - SUM(T127:T127) - SUM(P127:P127) - V127,0)</f>
        <v>0</v>
      </c>
      <c r="J127" s="185">
        <v>235002152355</v>
      </c>
      <c r="K127" s="186" t="s">
        <v>225</v>
      </c>
      <c r="L127" s="178" t="s">
        <v>146</v>
      </c>
      <c r="M127" s="178"/>
      <c r="N127" s="184"/>
      <c r="O127" s="184" t="s">
        <v>181</v>
      </c>
      <c r="P127" s="180">
        <v>5700</v>
      </c>
      <c r="Q127" s="182">
        <v>45023</v>
      </c>
      <c r="R127" s="178"/>
      <c r="S127" s="180"/>
      <c r="T127" s="180"/>
      <c r="U127" s="180"/>
      <c r="V127" s="187"/>
      <c r="W127" s="175"/>
      <c r="X127" s="108">
        <v>40</v>
      </c>
    </row>
    <row r="128" spans="1:24" s="108" customFormat="1" ht="108" x14ac:dyDescent="0.3">
      <c r="A128" s="177">
        <v>23</v>
      </c>
      <c r="B128" s="178" t="s">
        <v>56</v>
      </c>
      <c r="C128" s="178" t="s">
        <v>146</v>
      </c>
      <c r="D128" s="178" t="s">
        <v>147</v>
      </c>
      <c r="E128" s="178" t="s">
        <v>275</v>
      </c>
      <c r="F128" s="184">
        <v>45022</v>
      </c>
      <c r="G128" s="182" t="s">
        <v>276</v>
      </c>
      <c r="H128" s="180">
        <v>169662.35</v>
      </c>
      <c r="I128" s="181">
        <f>IF(X128 = 41, H128 + SUM(S128:S128) - SUM(T128:T128) - SUM(P128:P128) - V128,0)</f>
        <v>0</v>
      </c>
      <c r="J128" s="185">
        <v>7715995942</v>
      </c>
      <c r="K128" s="186" t="s">
        <v>277</v>
      </c>
      <c r="L128" s="178" t="s">
        <v>146</v>
      </c>
      <c r="M128" s="178"/>
      <c r="N128" s="184">
        <v>45068</v>
      </c>
      <c r="O128" s="184" t="s">
        <v>235</v>
      </c>
      <c r="P128" s="180">
        <v>169662.35</v>
      </c>
      <c r="Q128" s="182">
        <v>45090</v>
      </c>
      <c r="R128" s="178"/>
      <c r="S128" s="180"/>
      <c r="T128" s="180"/>
      <c r="U128" s="180"/>
      <c r="V128" s="187"/>
      <c r="W128" s="175"/>
      <c r="X128" s="108">
        <v>41</v>
      </c>
    </row>
    <row r="129" spans="1:24" s="108" customFormat="1" ht="108" x14ac:dyDescent="0.3">
      <c r="A129" s="177">
        <v>24</v>
      </c>
      <c r="B129" s="178" t="s">
        <v>56</v>
      </c>
      <c r="C129" s="178" t="s">
        <v>146</v>
      </c>
      <c r="D129" s="178" t="s">
        <v>147</v>
      </c>
      <c r="E129" s="178" t="s">
        <v>290</v>
      </c>
      <c r="F129" s="184">
        <v>45034</v>
      </c>
      <c r="G129" s="182" t="s">
        <v>291</v>
      </c>
      <c r="H129" s="180">
        <v>2000</v>
      </c>
      <c r="I129" s="181">
        <f>IF(X129 = 42, H129 + SUM(S129:S129) - SUM(T129:T129) - SUM(P129:P129) - V129,0)</f>
        <v>0</v>
      </c>
      <c r="J129" s="185">
        <v>235305769122</v>
      </c>
      <c r="K129" s="186" t="s">
        <v>168</v>
      </c>
      <c r="L129" s="178" t="s">
        <v>146</v>
      </c>
      <c r="M129" s="178"/>
      <c r="N129" s="184"/>
      <c r="O129" s="184" t="s">
        <v>235</v>
      </c>
      <c r="P129" s="180">
        <v>2000</v>
      </c>
      <c r="Q129" s="182">
        <v>45044</v>
      </c>
      <c r="R129" s="178"/>
      <c r="S129" s="180"/>
      <c r="T129" s="180"/>
      <c r="U129" s="180"/>
      <c r="V129" s="187"/>
      <c r="W129" s="175"/>
      <c r="X129" s="108">
        <v>42</v>
      </c>
    </row>
    <row r="130" spans="1:24" s="108" customFormat="1" ht="131.25" customHeight="1" x14ac:dyDescent="0.3">
      <c r="A130" s="599">
        <v>25</v>
      </c>
      <c r="B130" s="575" t="s">
        <v>56</v>
      </c>
      <c r="C130" s="575" t="s">
        <v>179</v>
      </c>
      <c r="D130" s="575" t="s">
        <v>147</v>
      </c>
      <c r="E130" s="575" t="s">
        <v>292</v>
      </c>
      <c r="F130" s="579">
        <v>45016</v>
      </c>
      <c r="G130" s="744" t="s">
        <v>293</v>
      </c>
      <c r="H130" s="581">
        <v>376000</v>
      </c>
      <c r="I130" s="583">
        <f>IF(X130 = 43, H130 + SUM(S130:S132) - SUM(T130:T132) - SUM(P130:P132) - V130,0)</f>
        <v>0</v>
      </c>
      <c r="J130" s="748">
        <v>2312296269</v>
      </c>
      <c r="K130" s="751" t="s">
        <v>294</v>
      </c>
      <c r="L130" s="575" t="s">
        <v>146</v>
      </c>
      <c r="M130" s="575"/>
      <c r="N130" s="293">
        <v>45046</v>
      </c>
      <c r="O130" s="579" t="s">
        <v>181</v>
      </c>
      <c r="P130" s="284">
        <v>90240</v>
      </c>
      <c r="Q130" s="285">
        <v>45061</v>
      </c>
      <c r="R130" s="286"/>
      <c r="S130" s="284"/>
      <c r="T130" s="284"/>
      <c r="U130" s="581"/>
      <c r="V130" s="740">
        <v>154160</v>
      </c>
      <c r="W130" s="573"/>
      <c r="X130" s="108">
        <v>43</v>
      </c>
    </row>
    <row r="131" spans="1:24" s="2" customFormat="1" x14ac:dyDescent="0.3">
      <c r="A131" s="736"/>
      <c r="B131" s="739"/>
      <c r="C131" s="739"/>
      <c r="D131" s="739"/>
      <c r="E131" s="739"/>
      <c r="F131" s="737"/>
      <c r="G131" s="745"/>
      <c r="H131" s="738"/>
      <c r="I131" s="747"/>
      <c r="J131" s="749"/>
      <c r="K131" s="752"/>
      <c r="L131" s="739"/>
      <c r="M131" s="739"/>
      <c r="N131" s="294">
        <v>45077</v>
      </c>
      <c r="O131" s="737"/>
      <c r="P131" s="287">
        <v>81780</v>
      </c>
      <c r="Q131" s="288">
        <v>45086</v>
      </c>
      <c r="R131" s="289"/>
      <c r="S131" s="287"/>
      <c r="T131" s="287"/>
      <c r="U131" s="738"/>
      <c r="V131" s="741"/>
      <c r="W131" s="743"/>
      <c r="X131" s="2">
        <v>43</v>
      </c>
    </row>
    <row r="132" spans="1:24" s="2" customFormat="1" x14ac:dyDescent="0.3">
      <c r="A132" s="600"/>
      <c r="B132" s="576"/>
      <c r="C132" s="576"/>
      <c r="D132" s="576"/>
      <c r="E132" s="576"/>
      <c r="F132" s="580"/>
      <c r="G132" s="746"/>
      <c r="H132" s="582"/>
      <c r="I132" s="584"/>
      <c r="J132" s="750"/>
      <c r="K132" s="753"/>
      <c r="L132" s="576"/>
      <c r="M132" s="576"/>
      <c r="N132" s="295">
        <v>45107</v>
      </c>
      <c r="O132" s="580"/>
      <c r="P132" s="290">
        <v>49820</v>
      </c>
      <c r="Q132" s="291">
        <v>45112</v>
      </c>
      <c r="R132" s="292"/>
      <c r="S132" s="290"/>
      <c r="T132" s="290"/>
      <c r="U132" s="582"/>
      <c r="V132" s="742"/>
      <c r="W132" s="574"/>
      <c r="X132" s="2">
        <v>43</v>
      </c>
    </row>
    <row r="133" spans="1:24" s="108" customFormat="1" ht="108" x14ac:dyDescent="0.3">
      <c r="A133" s="177">
        <v>26</v>
      </c>
      <c r="B133" s="178" t="s">
        <v>56</v>
      </c>
      <c r="C133" s="178" t="s">
        <v>146</v>
      </c>
      <c r="D133" s="178" t="s">
        <v>147</v>
      </c>
      <c r="E133" s="178" t="s">
        <v>298</v>
      </c>
      <c r="F133" s="184">
        <v>45049</v>
      </c>
      <c r="G133" s="182" t="s">
        <v>299</v>
      </c>
      <c r="H133" s="180">
        <v>5970</v>
      </c>
      <c r="I133" s="181">
        <f>IF(X133 = 44, H133 + SUM(S133:S133) - SUM(T133:T133) - SUM(P133:P133) - V133,0)</f>
        <v>0</v>
      </c>
      <c r="J133" s="185">
        <v>235002152355</v>
      </c>
      <c r="K133" s="186" t="s">
        <v>225</v>
      </c>
      <c r="L133" s="178" t="s">
        <v>146</v>
      </c>
      <c r="M133" s="178"/>
      <c r="N133" s="184"/>
      <c r="O133" s="184" t="s">
        <v>235</v>
      </c>
      <c r="P133" s="180">
        <v>5970</v>
      </c>
      <c r="Q133" s="182">
        <v>45061</v>
      </c>
      <c r="R133" s="178"/>
      <c r="S133" s="180"/>
      <c r="T133" s="180"/>
      <c r="U133" s="180"/>
      <c r="V133" s="187"/>
      <c r="W133" s="175"/>
      <c r="X133" s="108">
        <v>44</v>
      </c>
    </row>
    <row r="134" spans="1:24" s="108" customFormat="1" ht="108" x14ac:dyDescent="0.3">
      <c r="A134" s="202">
        <v>27</v>
      </c>
      <c r="B134" s="203" t="s">
        <v>56</v>
      </c>
      <c r="C134" s="203" t="s">
        <v>146</v>
      </c>
      <c r="D134" s="203" t="s">
        <v>147</v>
      </c>
      <c r="E134" s="203" t="s">
        <v>301</v>
      </c>
      <c r="F134" s="225">
        <v>45049</v>
      </c>
      <c r="G134" s="208" t="s">
        <v>299</v>
      </c>
      <c r="H134" s="205">
        <v>7350</v>
      </c>
      <c r="I134" s="206">
        <f>IF(X134 = 45, H134 + SUM(S134:S134) - SUM(T134:T134) - SUM(P134:P134) - V134,0)</f>
        <v>0</v>
      </c>
      <c r="J134" s="221">
        <v>235002152355</v>
      </c>
      <c r="K134" s="222" t="s">
        <v>225</v>
      </c>
      <c r="L134" s="203" t="s">
        <v>146</v>
      </c>
      <c r="M134" s="203" t="s">
        <v>300</v>
      </c>
      <c r="N134" s="225"/>
      <c r="O134" s="225" t="s">
        <v>235</v>
      </c>
      <c r="P134" s="205">
        <v>7350</v>
      </c>
      <c r="Q134" s="208">
        <v>45061</v>
      </c>
      <c r="R134" s="203"/>
      <c r="S134" s="205"/>
      <c r="T134" s="205"/>
      <c r="U134" s="205"/>
      <c r="V134" s="223"/>
      <c r="W134" s="201"/>
      <c r="X134" s="108">
        <v>45</v>
      </c>
    </row>
    <row r="135" spans="1:24" s="108" customFormat="1" ht="131.25" customHeight="1" x14ac:dyDescent="0.3">
      <c r="A135" s="603">
        <v>28</v>
      </c>
      <c r="B135" s="547" t="s">
        <v>56</v>
      </c>
      <c r="C135" s="547" t="s">
        <v>146</v>
      </c>
      <c r="D135" s="547" t="s">
        <v>147</v>
      </c>
      <c r="E135" s="547" t="s">
        <v>130</v>
      </c>
      <c r="F135" s="591">
        <v>45019</v>
      </c>
      <c r="G135" s="720" t="s">
        <v>305</v>
      </c>
      <c r="H135" s="593">
        <v>1650</v>
      </c>
      <c r="I135" s="595">
        <f>IF(X135 = 46, H135 + SUM(S135:S136) - SUM(T135:T136) - SUM(P135:P136) - V135,0)</f>
        <v>0</v>
      </c>
      <c r="J135" s="722">
        <v>2353020735</v>
      </c>
      <c r="K135" s="724" t="s">
        <v>157</v>
      </c>
      <c r="L135" s="547" t="s">
        <v>146</v>
      </c>
      <c r="M135" s="547"/>
      <c r="N135" s="254"/>
      <c r="O135" s="591" t="s">
        <v>235</v>
      </c>
      <c r="P135" s="248">
        <v>725</v>
      </c>
      <c r="Q135" s="249">
        <v>45063</v>
      </c>
      <c r="R135" s="250"/>
      <c r="S135" s="248"/>
      <c r="T135" s="248"/>
      <c r="U135" s="593" t="s">
        <v>344</v>
      </c>
      <c r="V135" s="733">
        <v>450</v>
      </c>
      <c r="W135" s="587"/>
      <c r="X135" s="108">
        <v>46</v>
      </c>
    </row>
    <row r="136" spans="1:24" s="2" customFormat="1" x14ac:dyDescent="0.3">
      <c r="A136" s="604"/>
      <c r="B136" s="548"/>
      <c r="C136" s="548"/>
      <c r="D136" s="548"/>
      <c r="E136" s="548"/>
      <c r="F136" s="592"/>
      <c r="G136" s="721"/>
      <c r="H136" s="594"/>
      <c r="I136" s="596"/>
      <c r="J136" s="723"/>
      <c r="K136" s="725"/>
      <c r="L136" s="548"/>
      <c r="M136" s="548"/>
      <c r="N136" s="255">
        <v>45065</v>
      </c>
      <c r="O136" s="592"/>
      <c r="P136" s="251">
        <v>475</v>
      </c>
      <c r="Q136" s="252" t="s">
        <v>342</v>
      </c>
      <c r="R136" s="253"/>
      <c r="S136" s="251"/>
      <c r="T136" s="251"/>
      <c r="U136" s="594"/>
      <c r="V136" s="735"/>
      <c r="W136" s="588"/>
      <c r="X136" s="2">
        <v>46</v>
      </c>
    </row>
    <row r="137" spans="1:24" s="108" customFormat="1" ht="131.25" customHeight="1" x14ac:dyDescent="0.3">
      <c r="A137" s="603">
        <v>29</v>
      </c>
      <c r="B137" s="547" t="s">
        <v>56</v>
      </c>
      <c r="C137" s="547" t="s">
        <v>146</v>
      </c>
      <c r="D137" s="547" t="s">
        <v>147</v>
      </c>
      <c r="E137" s="547" t="s">
        <v>131</v>
      </c>
      <c r="F137" s="591">
        <v>45019</v>
      </c>
      <c r="G137" s="720" t="s">
        <v>306</v>
      </c>
      <c r="H137" s="593">
        <v>5111.04</v>
      </c>
      <c r="I137" s="595">
        <f>IF(X137 = 47, H137 + SUM(S137:S138) - SUM(T137:T138) - SUM(P137:P138) - V137,0)</f>
        <v>0</v>
      </c>
      <c r="J137" s="722">
        <v>2353020735</v>
      </c>
      <c r="K137" s="724" t="s">
        <v>157</v>
      </c>
      <c r="L137" s="547" t="s">
        <v>146</v>
      </c>
      <c r="M137" s="547"/>
      <c r="N137" s="254"/>
      <c r="O137" s="591" t="s">
        <v>181</v>
      </c>
      <c r="P137" s="248">
        <v>2201.6799999999998</v>
      </c>
      <c r="Q137" s="249">
        <v>45063</v>
      </c>
      <c r="R137" s="250"/>
      <c r="S137" s="248"/>
      <c r="T137" s="248"/>
      <c r="U137" s="593" t="s">
        <v>344</v>
      </c>
      <c r="V137" s="733">
        <v>1479.04</v>
      </c>
      <c r="W137" s="587"/>
      <c r="X137" s="108">
        <v>47</v>
      </c>
    </row>
    <row r="138" spans="1:24" s="2" customFormat="1" x14ac:dyDescent="0.3">
      <c r="A138" s="604"/>
      <c r="B138" s="548"/>
      <c r="C138" s="548"/>
      <c r="D138" s="548"/>
      <c r="E138" s="548"/>
      <c r="F138" s="592"/>
      <c r="G138" s="721"/>
      <c r="H138" s="594"/>
      <c r="I138" s="596"/>
      <c r="J138" s="723"/>
      <c r="K138" s="725"/>
      <c r="L138" s="548"/>
      <c r="M138" s="548"/>
      <c r="N138" s="255">
        <v>45065</v>
      </c>
      <c r="O138" s="592"/>
      <c r="P138" s="251">
        <v>1430.32</v>
      </c>
      <c r="Q138" s="252">
        <v>45079</v>
      </c>
      <c r="R138" s="253"/>
      <c r="S138" s="251"/>
      <c r="T138" s="251"/>
      <c r="U138" s="594"/>
      <c r="V138" s="735"/>
      <c r="W138" s="588"/>
      <c r="X138" s="2">
        <v>47</v>
      </c>
    </row>
    <row r="139" spans="1:24" s="108" customFormat="1" ht="108" x14ac:dyDescent="0.3">
      <c r="A139" s="227">
        <v>30</v>
      </c>
      <c r="B139" s="228" t="s">
        <v>56</v>
      </c>
      <c r="C139" s="228" t="s">
        <v>146</v>
      </c>
      <c r="D139" s="228" t="s">
        <v>147</v>
      </c>
      <c r="E139" s="228" t="s">
        <v>315</v>
      </c>
      <c r="F139" s="235">
        <v>45072</v>
      </c>
      <c r="G139" s="229" t="s">
        <v>316</v>
      </c>
      <c r="H139" s="230">
        <v>7000</v>
      </c>
      <c r="I139" s="231">
        <f>IF(X139 = 48, H139 + SUM(S139:S139) - SUM(T139:T139) - SUM(P139:P139) - V139,0)</f>
        <v>0</v>
      </c>
      <c r="J139" s="232">
        <v>2353018870</v>
      </c>
      <c r="K139" s="233" t="s">
        <v>161</v>
      </c>
      <c r="L139" s="228" t="s">
        <v>146</v>
      </c>
      <c r="M139" s="228"/>
      <c r="N139" s="235"/>
      <c r="O139" s="235" t="s">
        <v>235</v>
      </c>
      <c r="P139" s="230">
        <v>7000</v>
      </c>
      <c r="Q139" s="229">
        <v>45099</v>
      </c>
      <c r="R139" s="228"/>
      <c r="S139" s="230"/>
      <c r="T139" s="230"/>
      <c r="U139" s="230"/>
      <c r="V139" s="234"/>
      <c r="W139" s="224"/>
      <c r="X139" s="108">
        <v>48</v>
      </c>
    </row>
    <row r="140" spans="1:24" s="108" customFormat="1" ht="108" x14ac:dyDescent="0.3">
      <c r="A140" s="227">
        <v>31</v>
      </c>
      <c r="B140" s="228" t="s">
        <v>56</v>
      </c>
      <c r="C140" s="228" t="s">
        <v>146</v>
      </c>
      <c r="D140" s="228" t="s">
        <v>147</v>
      </c>
      <c r="E140" s="228" t="s">
        <v>317</v>
      </c>
      <c r="F140" s="235">
        <v>45082</v>
      </c>
      <c r="G140" s="229" t="s">
        <v>318</v>
      </c>
      <c r="H140" s="230">
        <v>7172</v>
      </c>
      <c r="I140" s="231">
        <f>IF(X140 = 49, H140 + SUM(S140:S140) - SUM(T140:T140) - SUM(P140:P140) - V140,0)</f>
        <v>0</v>
      </c>
      <c r="J140" s="232">
        <v>235002152355</v>
      </c>
      <c r="K140" s="233" t="s">
        <v>319</v>
      </c>
      <c r="L140" s="228" t="s">
        <v>146</v>
      </c>
      <c r="M140" s="228"/>
      <c r="N140" s="235">
        <v>45082</v>
      </c>
      <c r="O140" s="235" t="s">
        <v>235</v>
      </c>
      <c r="P140" s="230">
        <v>7172</v>
      </c>
      <c r="Q140" s="229">
        <v>45082</v>
      </c>
      <c r="R140" s="228"/>
      <c r="S140" s="230"/>
      <c r="T140" s="230"/>
      <c r="U140" s="230"/>
      <c r="V140" s="234"/>
      <c r="W140" s="224"/>
      <c r="X140" s="108">
        <v>49</v>
      </c>
    </row>
    <row r="141" spans="1:24" s="108" customFormat="1" ht="131.25" customHeight="1" x14ac:dyDescent="0.3">
      <c r="A141" s="603">
        <v>32</v>
      </c>
      <c r="B141" s="547" t="s">
        <v>56</v>
      </c>
      <c r="C141" s="547" t="s">
        <v>146</v>
      </c>
      <c r="D141" s="547" t="s">
        <v>147</v>
      </c>
      <c r="E141" s="547" t="s">
        <v>329</v>
      </c>
      <c r="F141" s="591">
        <v>45082</v>
      </c>
      <c r="G141" s="720" t="s">
        <v>330</v>
      </c>
      <c r="H141" s="593">
        <v>78450</v>
      </c>
      <c r="I141" s="595">
        <f>IF(X141 = 50, H141 + SUM(S141:S142) - SUM(T141:T142) - SUM(P141:P142) - V141,0)</f>
        <v>0</v>
      </c>
      <c r="J141" s="722">
        <v>235002152355</v>
      </c>
      <c r="K141" s="724" t="s">
        <v>319</v>
      </c>
      <c r="L141" s="547" t="s">
        <v>146</v>
      </c>
      <c r="M141" s="547"/>
      <c r="N141" s="254">
        <v>45082</v>
      </c>
      <c r="O141" s="591" t="s">
        <v>235</v>
      </c>
      <c r="P141" s="248">
        <v>77540</v>
      </c>
      <c r="Q141" s="249">
        <v>45082</v>
      </c>
      <c r="R141" s="250"/>
      <c r="S141" s="248"/>
      <c r="T141" s="248"/>
      <c r="U141" s="593"/>
      <c r="V141" s="733"/>
      <c r="W141" s="587"/>
      <c r="X141" s="108">
        <v>50</v>
      </c>
    </row>
    <row r="142" spans="1:24" s="2" customFormat="1" x14ac:dyDescent="0.3">
      <c r="A142" s="604"/>
      <c r="B142" s="548"/>
      <c r="C142" s="548"/>
      <c r="D142" s="548"/>
      <c r="E142" s="548"/>
      <c r="F142" s="592"/>
      <c r="G142" s="721"/>
      <c r="H142" s="594"/>
      <c r="I142" s="596"/>
      <c r="J142" s="723"/>
      <c r="K142" s="725"/>
      <c r="L142" s="548"/>
      <c r="M142" s="548"/>
      <c r="N142" s="255">
        <v>45082</v>
      </c>
      <c r="O142" s="592"/>
      <c r="P142" s="251">
        <v>910</v>
      </c>
      <c r="Q142" s="252">
        <v>45082</v>
      </c>
      <c r="R142" s="253"/>
      <c r="S142" s="251"/>
      <c r="T142" s="251"/>
      <c r="U142" s="594"/>
      <c r="V142" s="735"/>
      <c r="W142" s="588"/>
      <c r="X142" s="2">
        <v>50</v>
      </c>
    </row>
    <row r="143" spans="1:24" s="108" customFormat="1" ht="108" x14ac:dyDescent="0.3">
      <c r="A143" s="227">
        <v>33</v>
      </c>
      <c r="B143" s="228" t="s">
        <v>56</v>
      </c>
      <c r="C143" s="228" t="s">
        <v>146</v>
      </c>
      <c r="D143" s="228" t="s">
        <v>147</v>
      </c>
      <c r="E143" s="228" t="s">
        <v>336</v>
      </c>
      <c r="F143" s="238">
        <v>45093</v>
      </c>
      <c r="G143" s="229" t="s">
        <v>337</v>
      </c>
      <c r="H143" s="230">
        <v>7700</v>
      </c>
      <c r="I143" s="231">
        <f>IF(X143 = 51, H143 + SUM(S143:S143) - SUM(T143:T143) - SUM(P143:P143) - V143,0)</f>
        <v>0</v>
      </c>
      <c r="J143" s="232">
        <v>235002152355</v>
      </c>
      <c r="K143" s="233" t="s">
        <v>319</v>
      </c>
      <c r="L143" s="228" t="s">
        <v>146</v>
      </c>
      <c r="M143" s="228"/>
      <c r="N143" s="238">
        <v>45093</v>
      </c>
      <c r="O143" s="238" t="s">
        <v>235</v>
      </c>
      <c r="P143" s="230">
        <v>7700</v>
      </c>
      <c r="Q143" s="229">
        <v>45096</v>
      </c>
      <c r="R143" s="228"/>
      <c r="S143" s="230"/>
      <c r="T143" s="230"/>
      <c r="U143" s="230"/>
      <c r="V143" s="234"/>
      <c r="W143" s="226"/>
      <c r="X143" s="108">
        <v>51</v>
      </c>
    </row>
    <row r="144" spans="1:24" s="108" customFormat="1" ht="108" x14ac:dyDescent="0.3">
      <c r="A144" s="270">
        <v>34</v>
      </c>
      <c r="B144" s="272" t="s">
        <v>56</v>
      </c>
      <c r="C144" s="272" t="s">
        <v>146</v>
      </c>
      <c r="D144" s="272" t="s">
        <v>147</v>
      </c>
      <c r="E144" s="272" t="s">
        <v>348</v>
      </c>
      <c r="F144" s="281">
        <v>45124</v>
      </c>
      <c r="G144" s="277" t="s">
        <v>349</v>
      </c>
      <c r="H144" s="271">
        <v>22000</v>
      </c>
      <c r="I144" s="276">
        <f>IF(X144 = 52, H144 + SUM(S144:S144) - SUM(T144:T144) - SUM(P144:P144) - V144,0)</f>
        <v>0</v>
      </c>
      <c r="J144" s="279">
        <v>235002152355</v>
      </c>
      <c r="K144" s="280" t="s">
        <v>225</v>
      </c>
      <c r="L144" s="272" t="s">
        <v>146</v>
      </c>
      <c r="M144" s="272"/>
      <c r="N144" s="281"/>
      <c r="O144" s="281" t="s">
        <v>235</v>
      </c>
      <c r="P144" s="271">
        <v>22000</v>
      </c>
      <c r="Q144" s="277">
        <v>45125</v>
      </c>
      <c r="R144" s="272"/>
      <c r="S144" s="271"/>
      <c r="T144" s="271"/>
      <c r="U144" s="271"/>
      <c r="V144" s="278"/>
      <c r="W144" s="274"/>
      <c r="X144" s="108">
        <v>52</v>
      </c>
    </row>
    <row r="145" spans="1:24" s="108" customFormat="1" ht="131.25" customHeight="1" x14ac:dyDescent="0.3">
      <c r="A145" s="485">
        <v>35</v>
      </c>
      <c r="B145" s="467" t="s">
        <v>56</v>
      </c>
      <c r="C145" s="467" t="s">
        <v>146</v>
      </c>
      <c r="D145" s="467" t="s">
        <v>147</v>
      </c>
      <c r="E145" s="467" t="s">
        <v>114</v>
      </c>
      <c r="F145" s="473">
        <v>45169</v>
      </c>
      <c r="G145" s="500" t="s">
        <v>265</v>
      </c>
      <c r="H145" s="476">
        <v>119880</v>
      </c>
      <c r="I145" s="479">
        <f>IF(X145 = 53, H145 + SUM(S145:S146) - SUM(T145:T146) - SUM(P145:P146) - V145,0)</f>
        <v>98472</v>
      </c>
      <c r="J145" s="616">
        <v>2353020735</v>
      </c>
      <c r="K145" s="618" t="s">
        <v>157</v>
      </c>
      <c r="L145" s="467" t="s">
        <v>146</v>
      </c>
      <c r="M145" s="467"/>
      <c r="N145" s="348">
        <v>45198</v>
      </c>
      <c r="O145" s="473" t="s">
        <v>235</v>
      </c>
      <c r="P145" s="339">
        <v>13518</v>
      </c>
      <c r="Q145" s="340">
        <v>45209</v>
      </c>
      <c r="R145" s="341"/>
      <c r="S145" s="339"/>
      <c r="T145" s="339"/>
      <c r="U145" s="476"/>
      <c r="V145" s="614"/>
      <c r="W145" s="491"/>
      <c r="X145" s="108">
        <v>53</v>
      </c>
    </row>
    <row r="146" spans="1:24" s="2" customFormat="1" x14ac:dyDescent="0.3">
      <c r="A146" s="487"/>
      <c r="B146" s="469"/>
      <c r="C146" s="469"/>
      <c r="D146" s="469"/>
      <c r="E146" s="469"/>
      <c r="F146" s="475"/>
      <c r="G146" s="502"/>
      <c r="H146" s="478"/>
      <c r="I146" s="481"/>
      <c r="J146" s="617"/>
      <c r="K146" s="619"/>
      <c r="L146" s="469"/>
      <c r="M146" s="469"/>
      <c r="N146" s="350">
        <v>45198</v>
      </c>
      <c r="O146" s="475"/>
      <c r="P146" s="345">
        <v>7890</v>
      </c>
      <c r="Q146" s="346">
        <v>45209</v>
      </c>
      <c r="R146" s="347"/>
      <c r="S146" s="345"/>
      <c r="T146" s="345"/>
      <c r="U146" s="478"/>
      <c r="V146" s="615"/>
      <c r="W146" s="493"/>
      <c r="X146" s="2">
        <v>53</v>
      </c>
    </row>
    <row r="147" spans="1:24" s="108" customFormat="1" ht="131.25" customHeight="1" x14ac:dyDescent="0.3">
      <c r="A147" s="449">
        <v>36</v>
      </c>
      <c r="B147" s="440" t="s">
        <v>56</v>
      </c>
      <c r="C147" s="440" t="s">
        <v>146</v>
      </c>
      <c r="D147" s="440" t="s">
        <v>147</v>
      </c>
      <c r="E147" s="440" t="s">
        <v>386</v>
      </c>
      <c r="F147" s="437">
        <v>45169</v>
      </c>
      <c r="G147" s="461" t="s">
        <v>387</v>
      </c>
      <c r="H147" s="443">
        <v>9401.36</v>
      </c>
      <c r="I147" s="446">
        <f>IF(X147 = 54, H147 + SUM(S147:S155) - SUM(T147:T155) - SUM(P147:P155) - V147,0)</f>
        <v>3120.0700000000006</v>
      </c>
      <c r="J147" s="605">
        <v>2353020735</v>
      </c>
      <c r="K147" s="608" t="s">
        <v>157</v>
      </c>
      <c r="L147" s="440" t="s">
        <v>146</v>
      </c>
      <c r="M147" s="440"/>
      <c r="N147" s="375">
        <v>45198</v>
      </c>
      <c r="O147" s="437" t="s">
        <v>235</v>
      </c>
      <c r="P147" s="366">
        <v>546.21</v>
      </c>
      <c r="Q147" s="367">
        <v>45216</v>
      </c>
      <c r="R147" s="368"/>
      <c r="S147" s="366"/>
      <c r="T147" s="366"/>
      <c r="U147" s="443"/>
      <c r="V147" s="611"/>
      <c r="W147" s="455"/>
      <c r="X147" s="108">
        <v>54</v>
      </c>
    </row>
    <row r="148" spans="1:24" s="2" customFormat="1" x14ac:dyDescent="0.3">
      <c r="A148" s="450"/>
      <c r="B148" s="441"/>
      <c r="C148" s="441"/>
      <c r="D148" s="441"/>
      <c r="E148" s="441"/>
      <c r="F148" s="438"/>
      <c r="G148" s="462"/>
      <c r="H148" s="444"/>
      <c r="I148" s="447"/>
      <c r="J148" s="606"/>
      <c r="K148" s="609"/>
      <c r="L148" s="441"/>
      <c r="M148" s="441"/>
      <c r="N148" s="376">
        <v>45198</v>
      </c>
      <c r="O148" s="438"/>
      <c r="P148" s="369">
        <v>520.20000000000005</v>
      </c>
      <c r="Q148" s="370">
        <v>45216</v>
      </c>
      <c r="R148" s="371"/>
      <c r="S148" s="369"/>
      <c r="T148" s="369"/>
      <c r="U148" s="444"/>
      <c r="V148" s="612"/>
      <c r="W148" s="456"/>
      <c r="X148" s="2">
        <v>54</v>
      </c>
    </row>
    <row r="149" spans="1:24" s="2" customFormat="1" x14ac:dyDescent="0.3">
      <c r="A149" s="450"/>
      <c r="B149" s="441"/>
      <c r="C149" s="441"/>
      <c r="D149" s="441"/>
      <c r="E149" s="441"/>
      <c r="F149" s="438"/>
      <c r="G149" s="462"/>
      <c r="H149" s="444"/>
      <c r="I149" s="447"/>
      <c r="J149" s="606"/>
      <c r="K149" s="609"/>
      <c r="L149" s="441"/>
      <c r="M149" s="441"/>
      <c r="N149" s="376">
        <v>45198</v>
      </c>
      <c r="O149" s="438"/>
      <c r="P149" s="369">
        <v>1070</v>
      </c>
      <c r="Q149" s="370">
        <v>45216</v>
      </c>
      <c r="R149" s="371"/>
      <c r="S149" s="369"/>
      <c r="T149" s="369"/>
      <c r="U149" s="444"/>
      <c r="V149" s="612"/>
      <c r="W149" s="456"/>
      <c r="X149" s="2">
        <v>54</v>
      </c>
    </row>
    <row r="150" spans="1:24" s="2" customFormat="1" x14ac:dyDescent="0.3">
      <c r="A150" s="450"/>
      <c r="B150" s="441"/>
      <c r="C150" s="441"/>
      <c r="D150" s="441"/>
      <c r="E150" s="441"/>
      <c r="F150" s="438"/>
      <c r="G150" s="462"/>
      <c r="H150" s="444"/>
      <c r="I150" s="447"/>
      <c r="J150" s="606"/>
      <c r="K150" s="609"/>
      <c r="L150" s="441"/>
      <c r="M150" s="441"/>
      <c r="N150" s="376">
        <v>45198</v>
      </c>
      <c r="O150" s="438"/>
      <c r="P150" s="369">
        <v>617.91999999999996</v>
      </c>
      <c r="Q150" s="370">
        <v>45222</v>
      </c>
      <c r="R150" s="371"/>
      <c r="S150" s="369"/>
      <c r="T150" s="369"/>
      <c r="U150" s="444"/>
      <c r="V150" s="612"/>
      <c r="W150" s="456"/>
      <c r="X150" s="2">
        <v>54</v>
      </c>
    </row>
    <row r="151" spans="1:24" s="2" customFormat="1" x14ac:dyDescent="0.3">
      <c r="A151" s="450"/>
      <c r="B151" s="441"/>
      <c r="C151" s="441"/>
      <c r="D151" s="441"/>
      <c r="E151" s="441"/>
      <c r="F151" s="438"/>
      <c r="G151" s="462"/>
      <c r="H151" s="444"/>
      <c r="I151" s="447"/>
      <c r="J151" s="606"/>
      <c r="K151" s="609"/>
      <c r="L151" s="441"/>
      <c r="M151" s="441"/>
      <c r="N151" s="376">
        <v>45198</v>
      </c>
      <c r="O151" s="438"/>
      <c r="P151" s="369">
        <v>505.58</v>
      </c>
      <c r="Q151" s="370">
        <v>45222</v>
      </c>
      <c r="R151" s="371"/>
      <c r="S151" s="369"/>
      <c r="T151" s="369"/>
      <c r="U151" s="444"/>
      <c r="V151" s="612"/>
      <c r="W151" s="456"/>
      <c r="X151" s="2">
        <v>54</v>
      </c>
    </row>
    <row r="152" spans="1:24" s="2" customFormat="1" x14ac:dyDescent="0.3">
      <c r="A152" s="450"/>
      <c r="B152" s="441"/>
      <c r="C152" s="441"/>
      <c r="D152" s="441"/>
      <c r="E152" s="441"/>
      <c r="F152" s="438"/>
      <c r="G152" s="462"/>
      <c r="H152" s="444"/>
      <c r="I152" s="447"/>
      <c r="J152" s="606"/>
      <c r="K152" s="609"/>
      <c r="L152" s="441"/>
      <c r="M152" s="441"/>
      <c r="N152" s="376">
        <v>45226</v>
      </c>
      <c r="O152" s="438"/>
      <c r="P152" s="369">
        <v>468.18</v>
      </c>
      <c r="Q152" s="370">
        <v>45257</v>
      </c>
      <c r="R152" s="371"/>
      <c r="S152" s="369"/>
      <c r="T152" s="369"/>
      <c r="U152" s="444"/>
      <c r="V152" s="612"/>
      <c r="W152" s="456"/>
      <c r="X152" s="2">
        <v>54</v>
      </c>
    </row>
    <row r="153" spans="1:24" s="2" customFormat="1" x14ac:dyDescent="0.3">
      <c r="A153" s="450"/>
      <c r="B153" s="441"/>
      <c r="C153" s="441"/>
      <c r="D153" s="441"/>
      <c r="E153" s="441"/>
      <c r="F153" s="438"/>
      <c r="G153" s="462"/>
      <c r="H153" s="444"/>
      <c r="I153" s="447"/>
      <c r="J153" s="606"/>
      <c r="K153" s="609"/>
      <c r="L153" s="441"/>
      <c r="M153" s="441"/>
      <c r="N153" s="376">
        <v>45226</v>
      </c>
      <c r="O153" s="438"/>
      <c r="P153" s="369">
        <v>520.20000000000005</v>
      </c>
      <c r="Q153" s="370">
        <v>45257</v>
      </c>
      <c r="R153" s="371"/>
      <c r="S153" s="369"/>
      <c r="T153" s="369"/>
      <c r="U153" s="444"/>
      <c r="V153" s="612"/>
      <c r="W153" s="456"/>
      <c r="X153" s="2">
        <v>54</v>
      </c>
    </row>
    <row r="154" spans="1:24" s="2" customFormat="1" x14ac:dyDescent="0.3">
      <c r="A154" s="450"/>
      <c r="B154" s="441"/>
      <c r="C154" s="441"/>
      <c r="D154" s="441"/>
      <c r="E154" s="441"/>
      <c r="F154" s="438"/>
      <c r="G154" s="462"/>
      <c r="H154" s="444"/>
      <c r="I154" s="447"/>
      <c r="J154" s="606"/>
      <c r="K154" s="609"/>
      <c r="L154" s="441"/>
      <c r="M154" s="441"/>
      <c r="N154" s="376">
        <v>45226</v>
      </c>
      <c r="O154" s="438"/>
      <c r="P154" s="369">
        <v>963</v>
      </c>
      <c r="Q154" s="370">
        <v>45257</v>
      </c>
      <c r="R154" s="371"/>
      <c r="S154" s="369"/>
      <c r="T154" s="369"/>
      <c r="U154" s="444"/>
      <c r="V154" s="612"/>
      <c r="W154" s="456"/>
      <c r="X154" s="2">
        <v>54</v>
      </c>
    </row>
    <row r="155" spans="1:24" s="2" customFormat="1" x14ac:dyDescent="0.3">
      <c r="A155" s="451"/>
      <c r="B155" s="442"/>
      <c r="C155" s="442"/>
      <c r="D155" s="442"/>
      <c r="E155" s="442"/>
      <c r="F155" s="439"/>
      <c r="G155" s="463"/>
      <c r="H155" s="445"/>
      <c r="I155" s="448"/>
      <c r="J155" s="607"/>
      <c r="K155" s="610"/>
      <c r="L155" s="442"/>
      <c r="M155" s="442"/>
      <c r="N155" s="377">
        <v>45226</v>
      </c>
      <c r="O155" s="439"/>
      <c r="P155" s="372">
        <v>1070</v>
      </c>
      <c r="Q155" s="373">
        <v>45257</v>
      </c>
      <c r="R155" s="374"/>
      <c r="S155" s="372"/>
      <c r="T155" s="372"/>
      <c r="U155" s="445"/>
      <c r="V155" s="613"/>
      <c r="W155" s="457"/>
      <c r="X155" s="2">
        <v>54</v>
      </c>
    </row>
    <row r="156" spans="1:24" s="108" customFormat="1" ht="108" x14ac:dyDescent="0.3">
      <c r="A156" s="329">
        <v>37</v>
      </c>
      <c r="B156" s="326" t="s">
        <v>56</v>
      </c>
      <c r="C156" s="326" t="s">
        <v>146</v>
      </c>
      <c r="D156" s="326" t="s">
        <v>147</v>
      </c>
      <c r="E156" s="326" t="s">
        <v>390</v>
      </c>
      <c r="F156" s="336">
        <v>45196</v>
      </c>
      <c r="G156" s="330" t="s">
        <v>391</v>
      </c>
      <c r="H156" s="331">
        <v>4000</v>
      </c>
      <c r="I156" s="332">
        <f>IF(X156 = 55, H156 + SUM(S156:S156) - SUM(T156:T156) - SUM(P156:P156) - V156,0)</f>
        <v>0</v>
      </c>
      <c r="J156" s="333">
        <v>235305769122</v>
      </c>
      <c r="K156" s="334" t="s">
        <v>168</v>
      </c>
      <c r="L156" s="326" t="s">
        <v>146</v>
      </c>
      <c r="M156" s="326"/>
      <c r="N156" s="336">
        <v>45196</v>
      </c>
      <c r="O156" s="336" t="s">
        <v>235</v>
      </c>
      <c r="P156" s="331">
        <v>4000</v>
      </c>
      <c r="Q156" s="330">
        <v>45203</v>
      </c>
      <c r="R156" s="326"/>
      <c r="S156" s="331"/>
      <c r="T156" s="331"/>
      <c r="U156" s="331"/>
      <c r="V156" s="335"/>
      <c r="W156" s="327"/>
      <c r="X156" s="108">
        <v>55</v>
      </c>
    </row>
    <row r="157" spans="1:24" s="108" customFormat="1" ht="108" x14ac:dyDescent="0.3">
      <c r="A157" s="329">
        <v>38</v>
      </c>
      <c r="B157" s="326" t="s">
        <v>56</v>
      </c>
      <c r="C157" s="326" t="s">
        <v>146</v>
      </c>
      <c r="D157" s="326" t="s">
        <v>147</v>
      </c>
      <c r="E157" s="326" t="s">
        <v>135</v>
      </c>
      <c r="F157" s="336">
        <v>45215</v>
      </c>
      <c r="G157" s="330" t="s">
        <v>400</v>
      </c>
      <c r="H157" s="331">
        <v>170855.04000000001</v>
      </c>
      <c r="I157" s="332">
        <f>IF(X157 = 56, H157 + SUM(S157:S157) - SUM(T157:T157) - SUM(P157:P157) - V157,0)</f>
        <v>142769.28</v>
      </c>
      <c r="J157" s="333">
        <v>2304067057</v>
      </c>
      <c r="K157" s="334" t="s">
        <v>177</v>
      </c>
      <c r="L157" s="326" t="s">
        <v>146</v>
      </c>
      <c r="M157" s="326"/>
      <c r="N157" s="336">
        <v>45230</v>
      </c>
      <c r="O157" s="336" t="s">
        <v>181</v>
      </c>
      <c r="P157" s="331">
        <v>28085.759999999998</v>
      </c>
      <c r="Q157" s="330">
        <v>45243</v>
      </c>
      <c r="R157" s="326"/>
      <c r="S157" s="331"/>
      <c r="T157" s="331"/>
      <c r="U157" s="331"/>
      <c r="V157" s="335"/>
      <c r="W157" s="327"/>
      <c r="X157" s="108">
        <v>56</v>
      </c>
    </row>
    <row r="158" spans="1:24" s="108" customFormat="1" ht="108" x14ac:dyDescent="0.3">
      <c r="A158" s="329">
        <v>39</v>
      </c>
      <c r="B158" s="326" t="s">
        <v>56</v>
      </c>
      <c r="C158" s="326" t="s">
        <v>146</v>
      </c>
      <c r="D158" s="326" t="s">
        <v>147</v>
      </c>
      <c r="E158" s="326" t="s">
        <v>402</v>
      </c>
      <c r="F158" s="336">
        <v>45222</v>
      </c>
      <c r="G158" s="330" t="s">
        <v>318</v>
      </c>
      <c r="H158" s="331">
        <v>460</v>
      </c>
      <c r="I158" s="332">
        <f>IF(X158 = 57, H158 + SUM(S158:S158) - SUM(T158:T158) - SUM(P158:P158) - V158,0)</f>
        <v>0</v>
      </c>
      <c r="J158" s="333">
        <v>235002152355</v>
      </c>
      <c r="K158" s="334" t="s">
        <v>225</v>
      </c>
      <c r="L158" s="326" t="s">
        <v>146</v>
      </c>
      <c r="M158" s="326"/>
      <c r="N158" s="336">
        <v>45222</v>
      </c>
      <c r="O158" s="336" t="s">
        <v>235</v>
      </c>
      <c r="P158" s="331">
        <v>460</v>
      </c>
      <c r="Q158" s="330">
        <v>45224</v>
      </c>
      <c r="R158" s="326"/>
      <c r="S158" s="331"/>
      <c r="T158" s="331"/>
      <c r="U158" s="331"/>
      <c r="V158" s="335"/>
      <c r="W158" s="327"/>
      <c r="X158" s="108">
        <v>57</v>
      </c>
    </row>
    <row r="159" spans="1:24" s="108" customFormat="1" ht="131.25" customHeight="1" x14ac:dyDescent="0.3">
      <c r="A159" s="485">
        <v>40</v>
      </c>
      <c r="B159" s="467" t="s">
        <v>56</v>
      </c>
      <c r="C159" s="467" t="s">
        <v>146</v>
      </c>
      <c r="D159" s="467" t="s">
        <v>147</v>
      </c>
      <c r="E159" s="467" t="s">
        <v>404</v>
      </c>
      <c r="F159" s="473">
        <v>45222</v>
      </c>
      <c r="G159" s="500" t="s">
        <v>383</v>
      </c>
      <c r="H159" s="476">
        <v>29500</v>
      </c>
      <c r="I159" s="479">
        <f>IF(X159 = 58, H159 + SUM(S159:S160) - SUM(T159:T160) - SUM(P159:P160) - V159,0)</f>
        <v>0</v>
      </c>
      <c r="J159" s="616">
        <v>235300809163</v>
      </c>
      <c r="K159" s="618" t="s">
        <v>403</v>
      </c>
      <c r="L159" s="467" t="s">
        <v>146</v>
      </c>
      <c r="M159" s="467"/>
      <c r="N159" s="348">
        <v>45222</v>
      </c>
      <c r="O159" s="473" t="s">
        <v>235</v>
      </c>
      <c r="P159" s="339">
        <v>25500</v>
      </c>
      <c r="Q159" s="340">
        <v>45224</v>
      </c>
      <c r="R159" s="341"/>
      <c r="S159" s="339"/>
      <c r="T159" s="339"/>
      <c r="U159" s="476"/>
      <c r="V159" s="614"/>
      <c r="W159" s="491"/>
      <c r="X159" s="108">
        <v>58</v>
      </c>
    </row>
    <row r="160" spans="1:24" s="2" customFormat="1" x14ac:dyDescent="0.3">
      <c r="A160" s="487"/>
      <c r="B160" s="469"/>
      <c r="C160" s="469"/>
      <c r="D160" s="469"/>
      <c r="E160" s="469"/>
      <c r="F160" s="475"/>
      <c r="G160" s="502"/>
      <c r="H160" s="478"/>
      <c r="I160" s="481"/>
      <c r="J160" s="617"/>
      <c r="K160" s="619"/>
      <c r="L160" s="469"/>
      <c r="M160" s="469"/>
      <c r="N160" s="350">
        <v>45222</v>
      </c>
      <c r="O160" s="475"/>
      <c r="P160" s="345">
        <v>4000</v>
      </c>
      <c r="Q160" s="346">
        <v>45224</v>
      </c>
      <c r="R160" s="347"/>
      <c r="S160" s="345"/>
      <c r="T160" s="345"/>
      <c r="U160" s="478"/>
      <c r="V160" s="615"/>
      <c r="W160" s="493"/>
      <c r="X160" s="2">
        <v>58</v>
      </c>
    </row>
    <row r="161" spans="1:24" s="108" customFormat="1" ht="108" x14ac:dyDescent="0.3">
      <c r="A161" s="329">
        <v>41</v>
      </c>
      <c r="B161" s="326" t="s">
        <v>56</v>
      </c>
      <c r="C161" s="326" t="s">
        <v>146</v>
      </c>
      <c r="D161" s="326" t="s">
        <v>147</v>
      </c>
      <c r="E161" s="326" t="s">
        <v>405</v>
      </c>
      <c r="F161" s="336">
        <v>45222</v>
      </c>
      <c r="G161" s="330" t="s">
        <v>406</v>
      </c>
      <c r="H161" s="331">
        <v>28830</v>
      </c>
      <c r="I161" s="332">
        <f>IF(X161 = 59, H161 + SUM(S161:S161) - SUM(T161:T161) - SUM(P161:P161) - V161,0)</f>
        <v>0</v>
      </c>
      <c r="J161" s="333">
        <v>235300809163</v>
      </c>
      <c r="K161" s="334" t="s">
        <v>403</v>
      </c>
      <c r="L161" s="326" t="s">
        <v>146</v>
      </c>
      <c r="M161" s="326"/>
      <c r="N161" s="336">
        <v>45222</v>
      </c>
      <c r="O161" s="336" t="s">
        <v>235</v>
      </c>
      <c r="P161" s="331">
        <v>28830</v>
      </c>
      <c r="Q161" s="330">
        <v>45224</v>
      </c>
      <c r="R161" s="326"/>
      <c r="S161" s="331"/>
      <c r="T161" s="331"/>
      <c r="U161" s="331"/>
      <c r="V161" s="335"/>
      <c r="W161" s="327"/>
      <c r="X161" s="108">
        <v>59</v>
      </c>
    </row>
    <row r="162" spans="1:24" s="108" customFormat="1" ht="108" x14ac:dyDescent="0.3">
      <c r="A162" s="329">
        <v>42</v>
      </c>
      <c r="B162" s="326" t="s">
        <v>56</v>
      </c>
      <c r="C162" s="326" t="s">
        <v>146</v>
      </c>
      <c r="D162" s="326" t="s">
        <v>147</v>
      </c>
      <c r="E162" s="326" t="s">
        <v>407</v>
      </c>
      <c r="F162" s="336">
        <v>45224</v>
      </c>
      <c r="G162" s="330" t="s">
        <v>408</v>
      </c>
      <c r="H162" s="331">
        <v>35497.800000000003</v>
      </c>
      <c r="I162" s="332">
        <f>IF(X162 = 60, H162 + SUM(S162:S162) - SUM(T162:T162) - SUM(P162:P162) - V162,0)</f>
        <v>35497.800000000003</v>
      </c>
      <c r="J162" s="333">
        <v>2311189754</v>
      </c>
      <c r="K162" s="334" t="s">
        <v>409</v>
      </c>
      <c r="L162" s="326" t="s">
        <v>146</v>
      </c>
      <c r="M162" s="326"/>
      <c r="N162" s="336"/>
      <c r="O162" s="336" t="s">
        <v>181</v>
      </c>
      <c r="P162" s="331"/>
      <c r="Q162" s="330"/>
      <c r="R162" s="326"/>
      <c r="S162" s="331"/>
      <c r="T162" s="331"/>
      <c r="U162" s="331"/>
      <c r="V162" s="335"/>
      <c r="W162" s="327"/>
      <c r="X162" s="108">
        <v>60</v>
      </c>
    </row>
    <row r="163" spans="1:24" s="108" customFormat="1" ht="131.25" customHeight="1" x14ac:dyDescent="0.3">
      <c r="A163" s="449">
        <v>43</v>
      </c>
      <c r="B163" s="440" t="s">
        <v>56</v>
      </c>
      <c r="C163" s="440" t="s">
        <v>146</v>
      </c>
      <c r="D163" s="440" t="s">
        <v>147</v>
      </c>
      <c r="E163" s="440" t="s">
        <v>114</v>
      </c>
      <c r="F163" s="437">
        <v>45225</v>
      </c>
      <c r="G163" s="461" t="s">
        <v>265</v>
      </c>
      <c r="H163" s="443">
        <v>68400</v>
      </c>
      <c r="I163" s="446">
        <f>IF(X163 = 61, H163 + SUM(S163:S165) - SUM(T163:T165) - SUM(P163:P165) - V163,0)</f>
        <v>39916</v>
      </c>
      <c r="J163" s="605">
        <v>2353020735</v>
      </c>
      <c r="K163" s="608" t="s">
        <v>157</v>
      </c>
      <c r="L163" s="440" t="s">
        <v>146</v>
      </c>
      <c r="M163" s="440"/>
      <c r="N163" s="375">
        <v>45226</v>
      </c>
      <c r="O163" s="437" t="s">
        <v>235</v>
      </c>
      <c r="P163" s="366">
        <v>20754</v>
      </c>
      <c r="Q163" s="367">
        <v>45257</v>
      </c>
      <c r="R163" s="368"/>
      <c r="S163" s="366"/>
      <c r="T163" s="366"/>
      <c r="U163" s="443"/>
      <c r="V163" s="611"/>
      <c r="W163" s="455"/>
      <c r="X163" s="108">
        <v>61</v>
      </c>
    </row>
    <row r="164" spans="1:24" s="2" customFormat="1" x14ac:dyDescent="0.3">
      <c r="A164" s="450"/>
      <c r="B164" s="441"/>
      <c r="C164" s="441"/>
      <c r="D164" s="441"/>
      <c r="E164" s="441"/>
      <c r="F164" s="438"/>
      <c r="G164" s="462"/>
      <c r="H164" s="444"/>
      <c r="I164" s="447"/>
      <c r="J164" s="606"/>
      <c r="K164" s="609"/>
      <c r="L164" s="441"/>
      <c r="M164" s="441"/>
      <c r="N164" s="376">
        <v>45226</v>
      </c>
      <c r="O164" s="438"/>
      <c r="P164" s="369">
        <v>7730</v>
      </c>
      <c r="Q164" s="370">
        <v>45257</v>
      </c>
      <c r="R164" s="371"/>
      <c r="S164" s="369"/>
      <c r="T164" s="369"/>
      <c r="U164" s="444"/>
      <c r="V164" s="612"/>
      <c r="W164" s="456"/>
      <c r="X164" s="2">
        <v>61</v>
      </c>
    </row>
    <row r="165" spans="1:24" s="2" customFormat="1" x14ac:dyDescent="0.3">
      <c r="A165" s="451"/>
      <c r="B165" s="442"/>
      <c r="C165" s="442"/>
      <c r="D165" s="442"/>
      <c r="E165" s="442"/>
      <c r="F165" s="439"/>
      <c r="G165" s="463"/>
      <c r="H165" s="445"/>
      <c r="I165" s="448"/>
      <c r="J165" s="607"/>
      <c r="K165" s="610"/>
      <c r="L165" s="442"/>
      <c r="M165" s="442"/>
      <c r="N165" s="377"/>
      <c r="O165" s="439"/>
      <c r="P165" s="372"/>
      <c r="Q165" s="373"/>
      <c r="R165" s="374"/>
      <c r="S165" s="372"/>
      <c r="T165" s="372"/>
      <c r="U165" s="445"/>
      <c r="V165" s="613"/>
      <c r="W165" s="457"/>
      <c r="X165" s="2">
        <v>61</v>
      </c>
    </row>
    <row r="166" spans="1:24" s="108" customFormat="1" ht="108" x14ac:dyDescent="0.3">
      <c r="A166" s="354">
        <v>44</v>
      </c>
      <c r="B166" s="351" t="s">
        <v>56</v>
      </c>
      <c r="C166" s="351" t="s">
        <v>146</v>
      </c>
      <c r="D166" s="351" t="s">
        <v>147</v>
      </c>
      <c r="E166" s="351" t="s">
        <v>423</v>
      </c>
      <c r="F166" s="360">
        <v>45257</v>
      </c>
      <c r="G166" s="358" t="s">
        <v>406</v>
      </c>
      <c r="H166" s="356">
        <v>5000</v>
      </c>
      <c r="I166" s="357">
        <f>IF(X166 = 62, H166 + SUM(S166:S166) - SUM(T166:T166) - SUM(P166:P166) - V166,0)</f>
        <v>5000</v>
      </c>
      <c r="J166" s="361">
        <v>235300809163</v>
      </c>
      <c r="K166" s="362" t="s">
        <v>403</v>
      </c>
      <c r="L166" s="351" t="s">
        <v>146</v>
      </c>
      <c r="M166" s="351"/>
      <c r="N166" s="360"/>
      <c r="O166" s="360" t="s">
        <v>235</v>
      </c>
      <c r="P166" s="356"/>
      <c r="Q166" s="358"/>
      <c r="R166" s="351"/>
      <c r="S166" s="356"/>
      <c r="T166" s="356"/>
      <c r="U166" s="356"/>
      <c r="V166" s="363"/>
      <c r="W166" s="352"/>
      <c r="X166" s="108">
        <v>62</v>
      </c>
    </row>
    <row r="167" spans="1:24" x14ac:dyDescent="0.3">
      <c r="B167" s="110"/>
      <c r="X167" s="8">
        <v>63</v>
      </c>
    </row>
    <row r="168" spans="1:24" x14ac:dyDescent="0.3">
      <c r="B168" s="110"/>
    </row>
    <row r="169" spans="1:24" x14ac:dyDescent="0.3">
      <c r="B169" s="110"/>
    </row>
    <row r="170" spans="1:24" x14ac:dyDescent="0.3">
      <c r="B170" s="110"/>
      <c r="E170" s="45"/>
    </row>
  </sheetData>
  <sheetProtection password="EB34" sheet="1" objects="1" scenarios="1" formatCells="0" formatColumns="0" formatRows="0"/>
  <mergeCells count="411">
    <mergeCell ref="A67:A71"/>
    <mergeCell ref="O67:O71"/>
    <mergeCell ref="B67:B71"/>
    <mergeCell ref="W141:W142"/>
    <mergeCell ref="D141:D142"/>
    <mergeCell ref="E141:E142"/>
    <mergeCell ref="F141:F142"/>
    <mergeCell ref="G141:G142"/>
    <mergeCell ref="H141:H142"/>
    <mergeCell ref="I141:I142"/>
    <mergeCell ref="J141:J142"/>
    <mergeCell ref="K141:K142"/>
    <mergeCell ref="L141:L142"/>
    <mergeCell ref="M141:M142"/>
    <mergeCell ref="W130:W132"/>
    <mergeCell ref="D130:D132"/>
    <mergeCell ref="E130:E132"/>
    <mergeCell ref="F130:F132"/>
    <mergeCell ref="G130:G132"/>
    <mergeCell ref="H130:H132"/>
    <mergeCell ref="I130:I132"/>
    <mergeCell ref="J130:J132"/>
    <mergeCell ref="K130:K132"/>
    <mergeCell ref="L130:L132"/>
    <mergeCell ref="A141:A142"/>
    <mergeCell ref="O141:O142"/>
    <mergeCell ref="U141:U142"/>
    <mergeCell ref="B141:B142"/>
    <mergeCell ref="V141:V142"/>
    <mergeCell ref="C141:C142"/>
    <mergeCell ref="A130:A132"/>
    <mergeCell ref="O130:O132"/>
    <mergeCell ref="U130:U132"/>
    <mergeCell ref="B130:B132"/>
    <mergeCell ref="V130:V132"/>
    <mergeCell ref="C130:C132"/>
    <mergeCell ref="M130:M132"/>
    <mergeCell ref="A135:A136"/>
    <mergeCell ref="O135:O136"/>
    <mergeCell ref="U135:U136"/>
    <mergeCell ref="B135:B136"/>
    <mergeCell ref="V135:V136"/>
    <mergeCell ref="C135:C136"/>
    <mergeCell ref="A137:A138"/>
    <mergeCell ref="O137:O138"/>
    <mergeCell ref="U137:U138"/>
    <mergeCell ref="B137:B138"/>
    <mergeCell ref="V137:V138"/>
    <mergeCell ref="W73:W82"/>
    <mergeCell ref="D73:D82"/>
    <mergeCell ref="E73:E82"/>
    <mergeCell ref="F73:F82"/>
    <mergeCell ref="G73:G82"/>
    <mergeCell ref="H73:H82"/>
    <mergeCell ref="I73:I82"/>
    <mergeCell ref="J73:J82"/>
    <mergeCell ref="K73:K82"/>
    <mergeCell ref="L73:L82"/>
    <mergeCell ref="M73:M82"/>
    <mergeCell ref="O73:O82"/>
    <mergeCell ref="U73:U82"/>
    <mergeCell ref="V73:V82"/>
    <mergeCell ref="W135:W136"/>
    <mergeCell ref="D135:D136"/>
    <mergeCell ref="E135:E136"/>
    <mergeCell ref="F135:F136"/>
    <mergeCell ref="G135:G136"/>
    <mergeCell ref="H135:H136"/>
    <mergeCell ref="I135:I136"/>
    <mergeCell ref="J135:J136"/>
    <mergeCell ref="K135:K136"/>
    <mergeCell ref="L135:L136"/>
    <mergeCell ref="M135:M136"/>
    <mergeCell ref="C137:C138"/>
    <mergeCell ref="W137:W138"/>
    <mergeCell ref="D137:D138"/>
    <mergeCell ref="E137:E138"/>
    <mergeCell ref="F137:F138"/>
    <mergeCell ref="G137:G138"/>
    <mergeCell ref="H137:H138"/>
    <mergeCell ref="I137:I138"/>
    <mergeCell ref="J137:J138"/>
    <mergeCell ref="K137:K138"/>
    <mergeCell ref="L137:L138"/>
    <mergeCell ref="M137:M138"/>
    <mergeCell ref="V94:V105"/>
    <mergeCell ref="C94:C105"/>
    <mergeCell ref="W94:W105"/>
    <mergeCell ref="D94:D105"/>
    <mergeCell ref="E94:E105"/>
    <mergeCell ref="F94:F105"/>
    <mergeCell ref="G94:G105"/>
    <mergeCell ref="H94:H105"/>
    <mergeCell ref="I94:I105"/>
    <mergeCell ref="J94:J105"/>
    <mergeCell ref="K94:K105"/>
    <mergeCell ref="L94:L105"/>
    <mergeCell ref="M94:M105"/>
    <mergeCell ref="A124:A125"/>
    <mergeCell ref="O124:O125"/>
    <mergeCell ref="U124:U125"/>
    <mergeCell ref="B124:B125"/>
    <mergeCell ref="V124:V125"/>
    <mergeCell ref="C124:C125"/>
    <mergeCell ref="W124:W125"/>
    <mergeCell ref="D124:D125"/>
    <mergeCell ref="E124:E125"/>
    <mergeCell ref="F124:F125"/>
    <mergeCell ref="G124:G125"/>
    <mergeCell ref="H124:H125"/>
    <mergeCell ref="I124:I125"/>
    <mergeCell ref="J124:J125"/>
    <mergeCell ref="K124:K125"/>
    <mergeCell ref="L124:L125"/>
    <mergeCell ref="M124:M125"/>
    <mergeCell ref="A113:A115"/>
    <mergeCell ref="O113:O115"/>
    <mergeCell ref="U113:U115"/>
    <mergeCell ref="B113:B115"/>
    <mergeCell ref="A9:A11"/>
    <mergeCell ref="O9:O11"/>
    <mergeCell ref="U9:U11"/>
    <mergeCell ref="B9:B11"/>
    <mergeCell ref="C9:C11"/>
    <mergeCell ref="D9:D11"/>
    <mergeCell ref="E9:E11"/>
    <mergeCell ref="F9:F11"/>
    <mergeCell ref="G9:G11"/>
    <mergeCell ref="H9:H11"/>
    <mergeCell ref="I9:I11"/>
    <mergeCell ref="J9:J11"/>
    <mergeCell ref="K9:K11"/>
    <mergeCell ref="L9:L11"/>
    <mergeCell ref="M9:M11"/>
    <mergeCell ref="A57:A66"/>
    <mergeCell ref="O57:O66"/>
    <mergeCell ref="A73:A82"/>
    <mergeCell ref="B73:B82"/>
    <mergeCell ref="C73:C82"/>
    <mergeCell ref="A90:A93"/>
    <mergeCell ref="O90:O93"/>
    <mergeCell ref="U90:U93"/>
    <mergeCell ref="B90:B93"/>
    <mergeCell ref="A107:A112"/>
    <mergeCell ref="B107:B112"/>
    <mergeCell ref="C107:C112"/>
    <mergeCell ref="M107:M112"/>
    <mergeCell ref="C90:C93"/>
    <mergeCell ref="A94:A105"/>
    <mergeCell ref="O94:O105"/>
    <mergeCell ref="U94:U105"/>
    <mergeCell ref="B94:B105"/>
    <mergeCell ref="W87:W89"/>
    <mergeCell ref="D87:D89"/>
    <mergeCell ref="E87:E89"/>
    <mergeCell ref="F87:F89"/>
    <mergeCell ref="G87:G89"/>
    <mergeCell ref="H87:H89"/>
    <mergeCell ref="I87:I89"/>
    <mergeCell ref="J87:J89"/>
    <mergeCell ref="K87:K89"/>
    <mergeCell ref="L87:L89"/>
    <mergeCell ref="M87:M89"/>
    <mergeCell ref="V87:V89"/>
    <mergeCell ref="A87:A89"/>
    <mergeCell ref="O87:O89"/>
    <mergeCell ref="U87:U89"/>
    <mergeCell ref="B87:B89"/>
    <mergeCell ref="A83:A86"/>
    <mergeCell ref="O83:O86"/>
    <mergeCell ref="U83:U86"/>
    <mergeCell ref="B83:B86"/>
    <mergeCell ref="V83:V86"/>
    <mergeCell ref="C83:C86"/>
    <mergeCell ref="C87:C89"/>
    <mergeCell ref="W83:W86"/>
    <mergeCell ref="D83:D86"/>
    <mergeCell ref="E83:E86"/>
    <mergeCell ref="F83:F86"/>
    <mergeCell ref="G83:G86"/>
    <mergeCell ref="H83:H86"/>
    <mergeCell ref="I83:I86"/>
    <mergeCell ref="J83:J86"/>
    <mergeCell ref="K83:K86"/>
    <mergeCell ref="L83:L86"/>
    <mergeCell ref="M83:M86"/>
    <mergeCell ref="S2:U2"/>
    <mergeCell ref="F2:G2"/>
    <mergeCell ref="N2:O2"/>
    <mergeCell ref="U57:U66"/>
    <mergeCell ref="B57:B66"/>
    <mergeCell ref="V57:V66"/>
    <mergeCell ref="C57:C66"/>
    <mergeCell ref="W57:W66"/>
    <mergeCell ref="D57:D66"/>
    <mergeCell ref="E57:E66"/>
    <mergeCell ref="F57:F66"/>
    <mergeCell ref="G57:G66"/>
    <mergeCell ref="H57:H66"/>
    <mergeCell ref="I57:I66"/>
    <mergeCell ref="J57:J66"/>
    <mergeCell ref="K57:K66"/>
    <mergeCell ref="L57:L66"/>
    <mergeCell ref="M57:M66"/>
    <mergeCell ref="V9:V11"/>
    <mergeCell ref="W9:W11"/>
    <mergeCell ref="W67:W71"/>
    <mergeCell ref="D67:D71"/>
    <mergeCell ref="E67:E71"/>
    <mergeCell ref="F67:F71"/>
    <mergeCell ref="G67:G71"/>
    <mergeCell ref="H67:H71"/>
    <mergeCell ref="I67:I71"/>
    <mergeCell ref="J67:J71"/>
    <mergeCell ref="K67:K71"/>
    <mergeCell ref="L67:L71"/>
    <mergeCell ref="M67:M71"/>
    <mergeCell ref="U67:U71"/>
    <mergeCell ref="V67:V71"/>
    <mergeCell ref="W90:W93"/>
    <mergeCell ref="D90:D93"/>
    <mergeCell ref="E90:E93"/>
    <mergeCell ref="F90:F93"/>
    <mergeCell ref="G90:G93"/>
    <mergeCell ref="H90:H93"/>
    <mergeCell ref="W107:W112"/>
    <mergeCell ref="M90:M93"/>
    <mergeCell ref="W113:W115"/>
    <mergeCell ref="O107:O112"/>
    <mergeCell ref="U107:U112"/>
    <mergeCell ref="V90:V93"/>
    <mergeCell ref="L90:L93"/>
    <mergeCell ref="L107:L112"/>
    <mergeCell ref="L113:L115"/>
    <mergeCell ref="V107:V112"/>
    <mergeCell ref="E107:E112"/>
    <mergeCell ref="F107:F112"/>
    <mergeCell ref="G107:G112"/>
    <mergeCell ref="H107:H112"/>
    <mergeCell ref="I107:I112"/>
    <mergeCell ref="D107:D112"/>
    <mergeCell ref="I90:I93"/>
    <mergeCell ref="J90:J93"/>
    <mergeCell ref="V113:V115"/>
    <mergeCell ref="C113:C115"/>
    <mergeCell ref="W116:W118"/>
    <mergeCell ref="M113:M115"/>
    <mergeCell ref="D113:D115"/>
    <mergeCell ref="E113:E115"/>
    <mergeCell ref="F113:F115"/>
    <mergeCell ref="G113:G115"/>
    <mergeCell ref="H113:H115"/>
    <mergeCell ref="J116:J118"/>
    <mergeCell ref="K116:K118"/>
    <mergeCell ref="L116:L118"/>
    <mergeCell ref="I113:I115"/>
    <mergeCell ref="J113:J115"/>
    <mergeCell ref="K113:K115"/>
    <mergeCell ref="A116:A118"/>
    <mergeCell ref="O116:O118"/>
    <mergeCell ref="U116:U118"/>
    <mergeCell ref="B116:B118"/>
    <mergeCell ref="V116:V118"/>
    <mergeCell ref="C116:C118"/>
    <mergeCell ref="M116:M118"/>
    <mergeCell ref="D116:D118"/>
    <mergeCell ref="W119:W121"/>
    <mergeCell ref="E116:E118"/>
    <mergeCell ref="F116:F118"/>
    <mergeCell ref="G116:G118"/>
    <mergeCell ref="H116:H118"/>
    <mergeCell ref="I116:I118"/>
    <mergeCell ref="A119:A121"/>
    <mergeCell ref="O119:O121"/>
    <mergeCell ref="U119:U121"/>
    <mergeCell ref="B119:B121"/>
    <mergeCell ref="M119:M121"/>
    <mergeCell ref="L119:L121"/>
    <mergeCell ref="V119:V121"/>
    <mergeCell ref="C119:C121"/>
    <mergeCell ref="D119:D121"/>
    <mergeCell ref="E119:E121"/>
    <mergeCell ref="F119:F121"/>
    <mergeCell ref="G119:G121"/>
    <mergeCell ref="H119:H121"/>
    <mergeCell ref="I119:I121"/>
    <mergeCell ref="J119:J121"/>
    <mergeCell ref="K119:K121"/>
    <mergeCell ref="C67:C71"/>
    <mergeCell ref="K90:K93"/>
    <mergeCell ref="J107:J112"/>
    <mergeCell ref="K107:K112"/>
    <mergeCell ref="A145:A146"/>
    <mergeCell ref="O145:O146"/>
    <mergeCell ref="U145:U146"/>
    <mergeCell ref="B145:B146"/>
    <mergeCell ref="V145:V146"/>
    <mergeCell ref="C145:C146"/>
    <mergeCell ref="W145:W146"/>
    <mergeCell ref="D145:D146"/>
    <mergeCell ref="E145:E146"/>
    <mergeCell ref="F145:F146"/>
    <mergeCell ref="G145:G146"/>
    <mergeCell ref="H145:H146"/>
    <mergeCell ref="I145:I146"/>
    <mergeCell ref="J145:J146"/>
    <mergeCell ref="K145:K146"/>
    <mergeCell ref="L145:L146"/>
    <mergeCell ref="M145:M146"/>
    <mergeCell ref="A159:A160"/>
    <mergeCell ref="O159:O160"/>
    <mergeCell ref="U159:U160"/>
    <mergeCell ref="B159:B160"/>
    <mergeCell ref="V159:V160"/>
    <mergeCell ref="C159:C160"/>
    <mergeCell ref="W159:W160"/>
    <mergeCell ref="D159:D160"/>
    <mergeCell ref="E159:E160"/>
    <mergeCell ref="F159:F160"/>
    <mergeCell ref="G159:G160"/>
    <mergeCell ref="H159:H160"/>
    <mergeCell ref="I159:I160"/>
    <mergeCell ref="J159:J160"/>
    <mergeCell ref="K159:K160"/>
    <mergeCell ref="L159:L160"/>
    <mergeCell ref="M159:M160"/>
    <mergeCell ref="A47:A56"/>
    <mergeCell ref="O47:O56"/>
    <mergeCell ref="U47:U56"/>
    <mergeCell ref="B47:B56"/>
    <mergeCell ref="V47:V56"/>
    <mergeCell ref="C47:C56"/>
    <mergeCell ref="W47:W56"/>
    <mergeCell ref="D47:D56"/>
    <mergeCell ref="E47:E56"/>
    <mergeCell ref="F47:F56"/>
    <mergeCell ref="G47:G56"/>
    <mergeCell ref="H47:H56"/>
    <mergeCell ref="I47:I56"/>
    <mergeCell ref="J47:J56"/>
    <mergeCell ref="K47:K56"/>
    <mergeCell ref="L47:L56"/>
    <mergeCell ref="M47:M56"/>
    <mergeCell ref="A22:A46"/>
    <mergeCell ref="O22:O46"/>
    <mergeCell ref="U22:U46"/>
    <mergeCell ref="B22:B46"/>
    <mergeCell ref="V22:V46"/>
    <mergeCell ref="C22:C46"/>
    <mergeCell ref="W22:W46"/>
    <mergeCell ref="D22:D46"/>
    <mergeCell ref="E22:E46"/>
    <mergeCell ref="F22:F46"/>
    <mergeCell ref="G22:G46"/>
    <mergeCell ref="H22:H46"/>
    <mergeCell ref="I22:I46"/>
    <mergeCell ref="J22:J46"/>
    <mergeCell ref="K22:K46"/>
    <mergeCell ref="L22:L46"/>
    <mergeCell ref="M22:M46"/>
    <mergeCell ref="A12:A21"/>
    <mergeCell ref="O12:O21"/>
    <mergeCell ref="U12:U21"/>
    <mergeCell ref="B12:B21"/>
    <mergeCell ref="V12:V21"/>
    <mergeCell ref="C12:C21"/>
    <mergeCell ref="W12:W21"/>
    <mergeCell ref="D12:D21"/>
    <mergeCell ref="E12:E21"/>
    <mergeCell ref="F12:F21"/>
    <mergeCell ref="G12:G21"/>
    <mergeCell ref="H12:H21"/>
    <mergeCell ref="I12:I21"/>
    <mergeCell ref="J12:J21"/>
    <mergeCell ref="K12:K21"/>
    <mergeCell ref="L12:L21"/>
    <mergeCell ref="M12:M21"/>
    <mergeCell ref="A163:A165"/>
    <mergeCell ref="O163:O165"/>
    <mergeCell ref="U163:U165"/>
    <mergeCell ref="B163:B165"/>
    <mergeCell ref="V163:V165"/>
    <mergeCell ref="C163:C165"/>
    <mergeCell ref="W163:W165"/>
    <mergeCell ref="A147:A155"/>
    <mergeCell ref="O147:O155"/>
    <mergeCell ref="U147:U155"/>
    <mergeCell ref="B147:B155"/>
    <mergeCell ref="V147:V155"/>
    <mergeCell ref="C147:C155"/>
    <mergeCell ref="W147:W155"/>
    <mergeCell ref="D147:D155"/>
    <mergeCell ref="E147:E155"/>
    <mergeCell ref="F147:F155"/>
    <mergeCell ref="G147:G155"/>
    <mergeCell ref="H147:H155"/>
    <mergeCell ref="I147:I155"/>
    <mergeCell ref="J147:J155"/>
    <mergeCell ref="K147:K155"/>
    <mergeCell ref="L147:L155"/>
    <mergeCell ref="M147:M155"/>
    <mergeCell ref="M163:M165"/>
    <mergeCell ref="D163:D165"/>
    <mergeCell ref="E163:E165"/>
    <mergeCell ref="F163:F165"/>
    <mergeCell ref="G163:G165"/>
    <mergeCell ref="H163:H165"/>
    <mergeCell ref="I163:I165"/>
    <mergeCell ref="J163:J165"/>
    <mergeCell ref="K163:K165"/>
    <mergeCell ref="L163:L165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8">
    <tabColor rgb="FF00B050"/>
  </sheetPr>
  <dimension ref="A1:V21"/>
  <sheetViews>
    <sheetView showGridLines="0" topLeftCell="G1" zoomScale="50" zoomScaleNormal="50" workbookViewId="0">
      <pane ySplit="8" topLeftCell="A9" activePane="bottomLeft" state="frozen"/>
      <selection pane="bottomLeft" activeCell="G9" sqref="G9:G16"/>
    </sheetView>
  </sheetViews>
  <sheetFormatPr defaultColWidth="0" defaultRowHeight="18" x14ac:dyDescent="0.3"/>
  <cols>
    <col min="1" max="1" width="14" style="3" customWidth="1"/>
    <col min="2" max="2" width="25.44140625" style="3" customWidth="1"/>
    <col min="3" max="3" width="39.5546875" style="3" bestFit="1" customWidth="1"/>
    <col min="4" max="4" width="23.88671875" style="3" customWidth="1"/>
    <col min="5" max="5" width="32.44140625" style="3" customWidth="1"/>
    <col min="6" max="6" width="27.44140625" style="12" customWidth="1"/>
    <col min="7" max="7" width="27.44140625" style="3" customWidth="1"/>
    <col min="8" max="8" width="33" style="3" customWidth="1"/>
    <col min="9" max="10" width="27.33203125" style="11" customWidth="1"/>
    <col min="11" max="11" width="26.5546875" style="3" customWidth="1"/>
    <col min="12" max="12" width="38.44140625" style="12" customWidth="1"/>
    <col min="13" max="13" width="37.5546875" style="3" customWidth="1"/>
    <col min="14" max="14" width="24.6640625" style="11" customWidth="1"/>
    <col min="15" max="15" width="24.44140625" style="12" customWidth="1"/>
    <col min="16" max="16" width="24.33203125" style="12" customWidth="1"/>
    <col min="17" max="17" width="27.44140625" style="12" customWidth="1"/>
    <col min="18" max="18" width="27.109375" style="12" customWidth="1"/>
    <col min="19" max="19" width="23.44140625" style="12" customWidth="1"/>
    <col min="20" max="20" width="22.88671875" style="11" customWidth="1"/>
    <col min="21" max="21" width="21.88671875" style="8" customWidth="1"/>
    <col min="22" max="16384" width="9.109375" style="8" hidden="1"/>
  </cols>
  <sheetData>
    <row r="1" spans="1:22" ht="18.600000000000001" thickBot="1" x14ac:dyDescent="0.35"/>
    <row r="2" spans="1:22" ht="39.9" customHeight="1" thickBot="1" x14ac:dyDescent="0.35">
      <c r="B2" s="86"/>
      <c r="C2" s="86"/>
      <c r="D2" s="86"/>
      <c r="E2" s="683" t="s">
        <v>24</v>
      </c>
      <c r="F2" s="684"/>
      <c r="G2" s="98">
        <f>SUM(G9:G9999)</f>
        <v>1960582.45</v>
      </c>
      <c r="L2" s="778" t="s">
        <v>137</v>
      </c>
      <c r="M2" s="779"/>
      <c r="N2" s="87">
        <f>SUM(N9:N9999)</f>
        <v>1575463.59</v>
      </c>
      <c r="P2" s="86"/>
      <c r="Q2" s="519" t="s">
        <v>45</v>
      </c>
      <c r="R2" s="520"/>
      <c r="S2" s="521"/>
      <c r="T2" s="88">
        <f>SUM(T9:T9999)</f>
        <v>0</v>
      </c>
    </row>
    <row r="3" spans="1:22" x14ac:dyDescent="0.3">
      <c r="E3" s="38"/>
      <c r="F3" s="38"/>
      <c r="G3" s="38"/>
      <c r="H3" s="38"/>
      <c r="I3" s="43"/>
      <c r="J3" s="44"/>
      <c r="K3" s="41"/>
      <c r="L3" s="38"/>
      <c r="M3" s="38"/>
      <c r="N3" s="43"/>
      <c r="O3" s="42"/>
      <c r="P3" s="38"/>
      <c r="Q3" s="38"/>
      <c r="R3" s="38"/>
      <c r="S3" s="38"/>
      <c r="T3" s="43"/>
    </row>
    <row r="4" spans="1:22" ht="39.9" customHeight="1" x14ac:dyDescent="0.3">
      <c r="E4" s="38"/>
      <c r="F4" s="38"/>
      <c r="G4" s="38"/>
      <c r="H4" s="38"/>
      <c r="I4" s="43"/>
      <c r="J4" s="44"/>
      <c r="K4" s="41"/>
      <c r="L4" s="38"/>
      <c r="M4" s="38"/>
      <c r="N4" s="43"/>
      <c r="O4" s="42"/>
      <c r="P4" s="38"/>
      <c r="Q4" s="38"/>
      <c r="R4" s="38"/>
      <c r="S4" s="38"/>
      <c r="T4" s="43"/>
    </row>
    <row r="6" spans="1:22" ht="144" x14ac:dyDescent="0.3">
      <c r="A6" s="28" t="s">
        <v>8</v>
      </c>
      <c r="B6" s="28" t="s">
        <v>21</v>
      </c>
      <c r="C6" s="28" t="s">
        <v>10</v>
      </c>
      <c r="D6" s="28" t="s">
        <v>15</v>
      </c>
      <c r="E6" s="28" t="s">
        <v>0</v>
      </c>
      <c r="F6" s="27" t="s">
        <v>3</v>
      </c>
      <c r="G6" s="28" t="s">
        <v>38</v>
      </c>
      <c r="H6" s="28" t="s">
        <v>22</v>
      </c>
      <c r="I6" s="89" t="s">
        <v>46</v>
      </c>
      <c r="J6" s="89" t="s">
        <v>5</v>
      </c>
      <c r="K6" s="28" t="s">
        <v>39</v>
      </c>
      <c r="L6" s="27" t="s">
        <v>37</v>
      </c>
      <c r="M6" s="28" t="s">
        <v>6</v>
      </c>
      <c r="N6" s="89" t="s">
        <v>23</v>
      </c>
      <c r="O6" s="27" t="s">
        <v>9</v>
      </c>
      <c r="P6" s="27" t="s">
        <v>40</v>
      </c>
      <c r="Q6" s="27" t="s">
        <v>103</v>
      </c>
      <c r="R6" s="27" t="s">
        <v>104</v>
      </c>
      <c r="S6" s="27" t="s">
        <v>41</v>
      </c>
      <c r="T6" s="89" t="s">
        <v>43</v>
      </c>
      <c r="U6" s="17" t="s">
        <v>42</v>
      </c>
    </row>
    <row r="7" spans="1:22" x14ac:dyDescent="0.3">
      <c r="A7" s="78" t="s">
        <v>36</v>
      </c>
      <c r="B7" s="78" t="s">
        <v>110</v>
      </c>
      <c r="C7" s="78" t="s">
        <v>111</v>
      </c>
      <c r="D7" s="78" t="s">
        <v>112</v>
      </c>
      <c r="E7" s="78" t="s">
        <v>113</v>
      </c>
      <c r="F7" s="78" t="s">
        <v>114</v>
      </c>
      <c r="G7" s="78" t="s">
        <v>115</v>
      </c>
      <c r="H7" s="78" t="s">
        <v>116</v>
      </c>
      <c r="I7" s="78" t="s">
        <v>117</v>
      </c>
      <c r="J7" s="78" t="s">
        <v>118</v>
      </c>
      <c r="K7" s="78" t="s">
        <v>119</v>
      </c>
      <c r="L7" s="78" t="s">
        <v>120</v>
      </c>
      <c r="M7" s="78" t="s">
        <v>121</v>
      </c>
      <c r="N7" s="78" t="s">
        <v>122</v>
      </c>
      <c r="O7" s="78" t="s">
        <v>123</v>
      </c>
      <c r="P7" s="78" t="s">
        <v>124</v>
      </c>
      <c r="Q7" s="78" t="s">
        <v>125</v>
      </c>
      <c r="R7" s="78" t="s">
        <v>126</v>
      </c>
      <c r="S7" s="78" t="s">
        <v>127</v>
      </c>
      <c r="T7" s="78" t="s">
        <v>128</v>
      </c>
      <c r="U7" s="78" t="s">
        <v>129</v>
      </c>
    </row>
    <row r="8" spans="1:22" s="18" customFormat="1" ht="108" x14ac:dyDescent="0.3">
      <c r="A8" s="90" t="s">
        <v>36</v>
      </c>
      <c r="B8" s="90" t="s">
        <v>67</v>
      </c>
      <c r="C8" s="90" t="s">
        <v>66</v>
      </c>
      <c r="D8" s="90" t="s">
        <v>48</v>
      </c>
      <c r="E8" s="95">
        <v>43823</v>
      </c>
      <c r="F8" s="91" t="s">
        <v>65</v>
      </c>
      <c r="G8" s="92">
        <v>100000</v>
      </c>
      <c r="H8" s="92">
        <v>90000</v>
      </c>
      <c r="I8" s="96">
        <v>2308091759</v>
      </c>
      <c r="J8" s="90" t="s">
        <v>68</v>
      </c>
      <c r="K8" s="90" t="s">
        <v>69</v>
      </c>
      <c r="L8" s="91">
        <v>43801</v>
      </c>
      <c r="M8" s="90" t="s">
        <v>70</v>
      </c>
      <c r="N8" s="92">
        <v>10000</v>
      </c>
      <c r="O8" s="91">
        <v>43489</v>
      </c>
      <c r="P8" s="91"/>
      <c r="Q8" s="91"/>
      <c r="R8" s="91"/>
      <c r="S8" s="91"/>
      <c r="T8" s="92"/>
      <c r="U8" s="93" t="s">
        <v>64</v>
      </c>
    </row>
    <row r="9" spans="1:22" s="108" customFormat="1" ht="37.5" customHeight="1" x14ac:dyDescent="0.3">
      <c r="A9" s="449">
        <v>1</v>
      </c>
      <c r="B9" s="440"/>
      <c r="C9" s="440" t="s">
        <v>188</v>
      </c>
      <c r="D9" s="440" t="s">
        <v>153</v>
      </c>
      <c r="E9" s="437">
        <v>44951</v>
      </c>
      <c r="F9" s="461" t="s">
        <v>154</v>
      </c>
      <c r="G9" s="443">
        <v>1201103.3999999999</v>
      </c>
      <c r="H9" s="446">
        <f>IF(V9 = 1, G9 + SUM(Q9:Q16) - SUM(R9:R16) - SUM(N9:N16) - T9,0)</f>
        <v>385118.85999999987</v>
      </c>
      <c r="I9" s="780">
        <v>2312054894</v>
      </c>
      <c r="J9" s="440" t="s">
        <v>155</v>
      </c>
      <c r="K9" s="440" t="s">
        <v>156</v>
      </c>
      <c r="L9" s="375">
        <v>44227</v>
      </c>
      <c r="M9" s="440" t="s">
        <v>152</v>
      </c>
      <c r="N9" s="366">
        <v>274502.33</v>
      </c>
      <c r="O9" s="375">
        <v>44986</v>
      </c>
      <c r="P9" s="367"/>
      <c r="Q9" s="366"/>
      <c r="R9" s="366"/>
      <c r="S9" s="461"/>
      <c r="T9" s="443"/>
      <c r="U9" s="455"/>
      <c r="V9" s="108">
        <v>1</v>
      </c>
    </row>
    <row r="10" spans="1:22" s="2" customFormat="1" x14ac:dyDescent="0.3">
      <c r="A10" s="450"/>
      <c r="B10" s="441"/>
      <c r="C10" s="441"/>
      <c r="D10" s="441"/>
      <c r="E10" s="438"/>
      <c r="F10" s="462"/>
      <c r="G10" s="444"/>
      <c r="H10" s="447"/>
      <c r="I10" s="781"/>
      <c r="J10" s="441"/>
      <c r="K10" s="441"/>
      <c r="L10" s="376">
        <v>44957</v>
      </c>
      <c r="M10" s="441"/>
      <c r="N10" s="369">
        <v>60000</v>
      </c>
      <c r="O10" s="376">
        <v>44988</v>
      </c>
      <c r="P10" s="370"/>
      <c r="Q10" s="369"/>
      <c r="R10" s="369"/>
      <c r="S10" s="462"/>
      <c r="T10" s="444"/>
      <c r="U10" s="456"/>
      <c r="V10" s="2">
        <v>1</v>
      </c>
    </row>
    <row r="11" spans="1:22" s="2" customFormat="1" x14ac:dyDescent="0.3">
      <c r="A11" s="450"/>
      <c r="B11" s="441"/>
      <c r="C11" s="441"/>
      <c r="D11" s="441"/>
      <c r="E11" s="438"/>
      <c r="F11" s="462"/>
      <c r="G11" s="444"/>
      <c r="H11" s="447"/>
      <c r="I11" s="781"/>
      <c r="J11" s="441"/>
      <c r="K11" s="441"/>
      <c r="L11" s="376">
        <v>44985</v>
      </c>
      <c r="M11" s="441"/>
      <c r="N11" s="369">
        <v>180000</v>
      </c>
      <c r="O11" s="376">
        <v>45008</v>
      </c>
      <c r="P11" s="370"/>
      <c r="Q11" s="369"/>
      <c r="R11" s="369"/>
      <c r="S11" s="462"/>
      <c r="T11" s="444"/>
      <c r="U11" s="456"/>
      <c r="V11" s="2">
        <v>1</v>
      </c>
    </row>
    <row r="12" spans="1:22" s="2" customFormat="1" x14ac:dyDescent="0.3">
      <c r="A12" s="450"/>
      <c r="B12" s="441"/>
      <c r="C12" s="441"/>
      <c r="D12" s="441"/>
      <c r="E12" s="438"/>
      <c r="F12" s="462"/>
      <c r="G12" s="444"/>
      <c r="H12" s="447"/>
      <c r="I12" s="781"/>
      <c r="J12" s="441"/>
      <c r="K12" s="441"/>
      <c r="L12" s="376">
        <v>44985</v>
      </c>
      <c r="M12" s="441"/>
      <c r="N12" s="369">
        <v>24143.63</v>
      </c>
      <c r="O12" s="376">
        <v>45013</v>
      </c>
      <c r="P12" s="370"/>
      <c r="Q12" s="369"/>
      <c r="R12" s="369"/>
      <c r="S12" s="462"/>
      <c r="T12" s="444"/>
      <c r="U12" s="456"/>
      <c r="V12" s="2">
        <v>1</v>
      </c>
    </row>
    <row r="13" spans="1:22" s="2" customFormat="1" x14ac:dyDescent="0.3">
      <c r="A13" s="450"/>
      <c r="B13" s="441"/>
      <c r="C13" s="441"/>
      <c r="D13" s="441"/>
      <c r="E13" s="438"/>
      <c r="F13" s="462"/>
      <c r="G13" s="444"/>
      <c r="H13" s="447"/>
      <c r="I13" s="781"/>
      <c r="J13" s="441"/>
      <c r="K13" s="441"/>
      <c r="L13" s="376">
        <v>44985</v>
      </c>
      <c r="M13" s="441"/>
      <c r="N13" s="369">
        <v>65000</v>
      </c>
      <c r="O13" s="376">
        <v>45022</v>
      </c>
      <c r="P13" s="370"/>
      <c r="Q13" s="369"/>
      <c r="R13" s="369"/>
      <c r="S13" s="462"/>
      <c r="T13" s="444"/>
      <c r="U13" s="456"/>
      <c r="V13" s="2">
        <v>1</v>
      </c>
    </row>
    <row r="14" spans="1:22" s="2" customFormat="1" x14ac:dyDescent="0.3">
      <c r="A14" s="450"/>
      <c r="B14" s="441"/>
      <c r="C14" s="441"/>
      <c r="D14" s="441"/>
      <c r="E14" s="438"/>
      <c r="F14" s="462"/>
      <c r="G14" s="444"/>
      <c r="H14" s="447"/>
      <c r="I14" s="781"/>
      <c r="J14" s="441"/>
      <c r="K14" s="441"/>
      <c r="L14" s="376">
        <v>45016</v>
      </c>
      <c r="M14" s="441"/>
      <c r="N14" s="369">
        <v>130032.9</v>
      </c>
      <c r="O14" s="376">
        <v>45037</v>
      </c>
      <c r="P14" s="370"/>
      <c r="Q14" s="369"/>
      <c r="R14" s="369"/>
      <c r="S14" s="462"/>
      <c r="T14" s="444"/>
      <c r="U14" s="456"/>
      <c r="V14" s="2">
        <v>1</v>
      </c>
    </row>
    <row r="15" spans="1:22" s="2" customFormat="1" x14ac:dyDescent="0.3">
      <c r="A15" s="450"/>
      <c r="B15" s="441"/>
      <c r="C15" s="441"/>
      <c r="D15" s="441"/>
      <c r="E15" s="438"/>
      <c r="F15" s="462"/>
      <c r="G15" s="444"/>
      <c r="H15" s="447"/>
      <c r="I15" s="781"/>
      <c r="J15" s="441"/>
      <c r="K15" s="441"/>
      <c r="L15" s="376">
        <v>45046</v>
      </c>
      <c r="M15" s="441"/>
      <c r="N15" s="369">
        <v>79730.259999999995</v>
      </c>
      <c r="O15" s="376">
        <v>45064</v>
      </c>
      <c r="P15" s="370"/>
      <c r="Q15" s="369"/>
      <c r="R15" s="369"/>
      <c r="S15" s="462"/>
      <c r="T15" s="444"/>
      <c r="U15" s="456"/>
      <c r="V15" s="2">
        <v>1</v>
      </c>
    </row>
    <row r="16" spans="1:22" s="2" customFormat="1" x14ac:dyDescent="0.3">
      <c r="A16" s="451"/>
      <c r="B16" s="442"/>
      <c r="C16" s="442"/>
      <c r="D16" s="442"/>
      <c r="E16" s="439"/>
      <c r="F16" s="463"/>
      <c r="G16" s="445"/>
      <c r="H16" s="448"/>
      <c r="I16" s="782"/>
      <c r="J16" s="442"/>
      <c r="K16" s="442"/>
      <c r="L16" s="377">
        <v>45230</v>
      </c>
      <c r="M16" s="442"/>
      <c r="N16" s="372">
        <v>2575.42</v>
      </c>
      <c r="O16" s="377">
        <v>45254</v>
      </c>
      <c r="P16" s="373"/>
      <c r="Q16" s="372"/>
      <c r="R16" s="372"/>
      <c r="S16" s="463"/>
      <c r="T16" s="445"/>
      <c r="U16" s="457"/>
      <c r="V16" s="2">
        <v>1</v>
      </c>
    </row>
    <row r="17" spans="1:22" s="108" customFormat="1" ht="56.25" customHeight="1" x14ac:dyDescent="0.3">
      <c r="A17" s="772">
        <v>2</v>
      </c>
      <c r="B17" s="754"/>
      <c r="C17" s="754" t="s">
        <v>147</v>
      </c>
      <c r="D17" s="754" t="s">
        <v>338</v>
      </c>
      <c r="E17" s="766">
        <v>45096</v>
      </c>
      <c r="F17" s="757" t="s">
        <v>339</v>
      </c>
      <c r="G17" s="760">
        <v>759479.05</v>
      </c>
      <c r="H17" s="775">
        <f>IF(V17 = 2, G17 + SUM(Q17:Q19) - SUM(R17:R19) - SUM(N17:N19) - T17,0)</f>
        <v>0</v>
      </c>
      <c r="I17" s="769">
        <v>7715995942</v>
      </c>
      <c r="J17" s="754" t="s">
        <v>277</v>
      </c>
      <c r="K17" s="754" t="s">
        <v>340</v>
      </c>
      <c r="L17" s="311"/>
      <c r="M17" s="754" t="s">
        <v>341</v>
      </c>
      <c r="N17" s="305">
        <v>262727.84999999998</v>
      </c>
      <c r="O17" s="311">
        <v>45142</v>
      </c>
      <c r="P17" s="306"/>
      <c r="Q17" s="305"/>
      <c r="R17" s="305"/>
      <c r="S17" s="757"/>
      <c r="T17" s="760"/>
      <c r="U17" s="763"/>
      <c r="V17" s="108">
        <v>2</v>
      </c>
    </row>
    <row r="18" spans="1:22" s="2" customFormat="1" x14ac:dyDescent="0.3">
      <c r="A18" s="773"/>
      <c r="B18" s="755"/>
      <c r="C18" s="755"/>
      <c r="D18" s="755"/>
      <c r="E18" s="767"/>
      <c r="F18" s="758"/>
      <c r="G18" s="761"/>
      <c r="H18" s="776"/>
      <c r="I18" s="770"/>
      <c r="J18" s="755"/>
      <c r="K18" s="755"/>
      <c r="L18" s="312"/>
      <c r="M18" s="755"/>
      <c r="N18" s="307">
        <v>131282.25</v>
      </c>
      <c r="O18" s="312">
        <v>45161</v>
      </c>
      <c r="P18" s="308"/>
      <c r="Q18" s="307"/>
      <c r="R18" s="307"/>
      <c r="S18" s="758"/>
      <c r="T18" s="761"/>
      <c r="U18" s="764"/>
      <c r="V18" s="2">
        <v>2</v>
      </c>
    </row>
    <row r="19" spans="1:22" s="2" customFormat="1" x14ac:dyDescent="0.3">
      <c r="A19" s="774"/>
      <c r="B19" s="756"/>
      <c r="C19" s="756"/>
      <c r="D19" s="756"/>
      <c r="E19" s="768"/>
      <c r="F19" s="759"/>
      <c r="G19" s="762"/>
      <c r="H19" s="777"/>
      <c r="I19" s="771"/>
      <c r="J19" s="756"/>
      <c r="K19" s="756"/>
      <c r="L19" s="313"/>
      <c r="M19" s="756"/>
      <c r="N19" s="309">
        <v>365468.95</v>
      </c>
      <c r="O19" s="313">
        <v>45161</v>
      </c>
      <c r="P19" s="310"/>
      <c r="Q19" s="309"/>
      <c r="R19" s="309"/>
      <c r="S19" s="759"/>
      <c r="T19" s="762"/>
      <c r="U19" s="765"/>
      <c r="V19" s="2">
        <v>2</v>
      </c>
    </row>
    <row r="20" spans="1:22" s="108" customFormat="1" x14ac:dyDescent="0.3">
      <c r="A20" s="227">
        <v>3</v>
      </c>
      <c r="B20" s="228"/>
      <c r="C20" s="228"/>
      <c r="D20" s="228"/>
      <c r="E20" s="238"/>
      <c r="F20" s="229"/>
      <c r="G20" s="230"/>
      <c r="H20" s="231">
        <f>IF(V20 = 3, G20 + SUM(Q20:Q20) - SUM(R20:R20) - SUM(N20:N20) - T20,0)</f>
        <v>0</v>
      </c>
      <c r="I20" s="239"/>
      <c r="J20" s="228"/>
      <c r="K20" s="228"/>
      <c r="L20" s="238"/>
      <c r="M20" s="228"/>
      <c r="N20" s="230"/>
      <c r="O20" s="238"/>
      <c r="P20" s="229"/>
      <c r="Q20" s="230"/>
      <c r="R20" s="230"/>
      <c r="S20" s="229"/>
      <c r="T20" s="230"/>
      <c r="U20" s="226"/>
      <c r="V20" s="108">
        <v>3</v>
      </c>
    </row>
    <row r="21" spans="1:22" x14ac:dyDescent="0.3">
      <c r="V21" s="8">
        <v>4</v>
      </c>
    </row>
  </sheetData>
  <sheetProtection password="EB34" sheet="1" objects="1" scenarios="1" formatCells="0" formatColumns="0" formatRows="0"/>
  <mergeCells count="33">
    <mergeCell ref="Q2:S2"/>
    <mergeCell ref="E2:F2"/>
    <mergeCell ref="L2:M2"/>
    <mergeCell ref="A9:A16"/>
    <mergeCell ref="M9:M16"/>
    <mergeCell ref="S9:S16"/>
    <mergeCell ref="B9:B16"/>
    <mergeCell ref="C9:C16"/>
    <mergeCell ref="D9:D16"/>
    <mergeCell ref="E9:E16"/>
    <mergeCell ref="F9:F16"/>
    <mergeCell ref="G9:G16"/>
    <mergeCell ref="H9:H16"/>
    <mergeCell ref="I9:I16"/>
    <mergeCell ref="J9:J16"/>
    <mergeCell ref="A17:A19"/>
    <mergeCell ref="B17:B19"/>
    <mergeCell ref="C17:C19"/>
    <mergeCell ref="G17:G19"/>
    <mergeCell ref="H17:H19"/>
    <mergeCell ref="D17:D19"/>
    <mergeCell ref="E17:E19"/>
    <mergeCell ref="F17:F19"/>
    <mergeCell ref="I17:I19"/>
    <mergeCell ref="J17:J19"/>
    <mergeCell ref="K9:K16"/>
    <mergeCell ref="M17:M19"/>
    <mergeCell ref="S17:S19"/>
    <mergeCell ref="T17:T19"/>
    <mergeCell ref="U17:U19"/>
    <mergeCell ref="K17:K19"/>
    <mergeCell ref="T9:T16"/>
    <mergeCell ref="U9:U16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9">
    <tabColor theme="3" tint="0.39997558519241921"/>
  </sheetPr>
  <dimension ref="A1:AL16"/>
  <sheetViews>
    <sheetView showGridLines="0" topLeftCell="J1" zoomScale="50" zoomScaleNormal="50" workbookViewId="0">
      <pane ySplit="8" topLeftCell="A10" activePane="bottomLeft" state="frozen"/>
      <selection pane="bottomLeft" activeCell="X15" sqref="X15"/>
    </sheetView>
  </sheetViews>
  <sheetFormatPr defaultColWidth="0" defaultRowHeight="18" x14ac:dyDescent="0.3"/>
  <cols>
    <col min="1" max="1" width="9.109375" style="3" customWidth="1"/>
    <col min="2" max="2" width="44" style="3" customWidth="1"/>
    <col min="3" max="3" width="30.6640625" style="3" customWidth="1"/>
    <col min="4" max="6" width="33.6640625" style="3" customWidth="1"/>
    <col min="7" max="8" width="22.33203125" style="11" customWidth="1"/>
    <col min="9" max="9" width="24.33203125" style="35" customWidth="1"/>
    <col min="10" max="10" width="28.44140625" style="35" customWidth="1"/>
    <col min="11" max="12" width="19.5546875" style="3" customWidth="1"/>
    <col min="13" max="13" width="25.6640625" style="3" customWidth="1"/>
    <col min="14" max="14" width="24.44140625" style="12" bestFit="1" customWidth="1"/>
    <col min="15" max="15" width="24.44140625" style="3" customWidth="1"/>
    <col min="16" max="16" width="31.5546875" style="3" customWidth="1"/>
    <col min="17" max="18" width="21.88671875" style="11" customWidth="1"/>
    <col min="19" max="19" width="23.5546875" style="3" customWidth="1"/>
    <col min="20" max="20" width="31.33203125" style="12" customWidth="1"/>
    <col min="21" max="21" width="27.6640625" style="12" customWidth="1"/>
    <col min="22" max="22" width="25.44140625" style="11" customWidth="1"/>
    <col min="23" max="23" width="25" style="12" customWidth="1"/>
    <col min="24" max="24" width="24.5546875" style="3" customWidth="1"/>
    <col min="25" max="25" width="24.88671875" style="3" customWidth="1"/>
    <col min="26" max="26" width="24" style="3" customWidth="1"/>
    <col min="27" max="27" width="23.6640625" style="12" customWidth="1"/>
    <col min="28" max="28" width="19.109375" style="11" customWidth="1"/>
    <col min="29" max="29" width="23.109375" style="3" customWidth="1"/>
    <col min="30" max="30" width="9.109375" style="8" hidden="1" customWidth="1"/>
    <col min="31" max="31" width="8.5546875" style="8" hidden="1" customWidth="1"/>
    <col min="32" max="38" width="0" style="8" hidden="1" customWidth="1"/>
    <col min="39" max="16384" width="9.109375" style="8" hidden="1"/>
  </cols>
  <sheetData>
    <row r="1" spans="1:33" ht="18.600000000000001" thickBot="1" x14ac:dyDescent="0.35"/>
    <row r="2" spans="1:33" ht="39.9" customHeight="1" thickBot="1" x14ac:dyDescent="0.35">
      <c r="E2" s="683" t="s">
        <v>139</v>
      </c>
      <c r="F2" s="684"/>
      <c r="G2" s="100">
        <f>SUM(G9:G10000)</f>
        <v>26100</v>
      </c>
      <c r="H2" s="15"/>
      <c r="O2" s="683" t="s">
        <v>24</v>
      </c>
      <c r="P2" s="684"/>
      <c r="Q2" s="98">
        <f>SUM(Q9:Q10000)</f>
        <v>25578</v>
      </c>
      <c r="T2" s="519" t="s">
        <v>137</v>
      </c>
      <c r="U2" s="521"/>
      <c r="V2" s="87">
        <f>SUM(V9:V10000)</f>
        <v>19894</v>
      </c>
      <c r="X2" s="86"/>
      <c r="Y2" s="519" t="s">
        <v>45</v>
      </c>
      <c r="Z2" s="520"/>
      <c r="AA2" s="521"/>
      <c r="AB2" s="88">
        <f>SUM(AB9:AB10000)</f>
        <v>0</v>
      </c>
    </row>
    <row r="3" spans="1:33" x14ac:dyDescent="0.3">
      <c r="F3" s="45"/>
      <c r="G3" s="43"/>
      <c r="H3" s="43"/>
      <c r="I3" s="46"/>
      <c r="J3" s="46"/>
      <c r="K3" s="41"/>
      <c r="L3" s="41"/>
      <c r="M3" s="41"/>
      <c r="N3" s="42"/>
      <c r="O3" s="41"/>
      <c r="P3" s="45"/>
      <c r="Q3" s="43"/>
      <c r="R3" s="44"/>
      <c r="S3" s="41"/>
      <c r="T3" s="38"/>
      <c r="U3" s="38"/>
      <c r="V3" s="43"/>
      <c r="W3" s="42"/>
      <c r="X3" s="38"/>
      <c r="Y3" s="38"/>
      <c r="Z3" s="38"/>
      <c r="AA3" s="38"/>
      <c r="AB3" s="43"/>
    </row>
    <row r="4" spans="1:33" ht="39.9" customHeight="1" x14ac:dyDescent="0.3">
      <c r="F4" s="45"/>
      <c r="G4" s="43"/>
      <c r="H4" s="43"/>
      <c r="I4" s="46"/>
      <c r="J4" s="46"/>
      <c r="K4" s="41"/>
      <c r="L4" s="41"/>
      <c r="M4" s="41"/>
      <c r="N4" s="42"/>
      <c r="O4" s="41"/>
      <c r="P4" s="45"/>
      <c r="Q4" s="43"/>
      <c r="R4" s="44"/>
      <c r="S4" s="41"/>
      <c r="T4" s="38"/>
      <c r="U4" s="38"/>
      <c r="V4" s="43"/>
      <c r="W4" s="42"/>
      <c r="X4" s="38"/>
      <c r="Y4" s="38"/>
      <c r="Z4" s="38"/>
      <c r="AA4" s="38"/>
      <c r="AB4" s="43"/>
    </row>
    <row r="6" spans="1:33" ht="126" x14ac:dyDescent="0.3">
      <c r="A6" s="23" t="s">
        <v>8</v>
      </c>
      <c r="B6" s="23" t="s">
        <v>47</v>
      </c>
      <c r="C6" s="23" t="s">
        <v>33</v>
      </c>
      <c r="D6" s="23" t="s">
        <v>10</v>
      </c>
      <c r="E6" s="23" t="s">
        <v>11</v>
      </c>
      <c r="F6" s="23" t="s">
        <v>12</v>
      </c>
      <c r="G6" s="31" t="s">
        <v>13</v>
      </c>
      <c r="H6" s="31" t="s">
        <v>34</v>
      </c>
      <c r="I6" s="36" t="s">
        <v>16</v>
      </c>
      <c r="J6" s="36" t="s">
        <v>17</v>
      </c>
      <c r="K6" s="23" t="s">
        <v>14</v>
      </c>
      <c r="L6" s="23" t="s">
        <v>32</v>
      </c>
      <c r="M6" s="23" t="s">
        <v>15</v>
      </c>
      <c r="N6" s="30" t="s">
        <v>0</v>
      </c>
      <c r="O6" s="23" t="s">
        <v>46</v>
      </c>
      <c r="P6" s="23" t="s">
        <v>5</v>
      </c>
      <c r="Q6" s="31" t="s">
        <v>18</v>
      </c>
      <c r="R6" s="31" t="s">
        <v>22</v>
      </c>
      <c r="S6" s="23" t="s">
        <v>19</v>
      </c>
      <c r="T6" s="30" t="s">
        <v>37</v>
      </c>
      <c r="U6" s="30" t="s">
        <v>20</v>
      </c>
      <c r="V6" s="31" t="s">
        <v>23</v>
      </c>
      <c r="W6" s="30" t="s">
        <v>9</v>
      </c>
      <c r="X6" s="28" t="s">
        <v>40</v>
      </c>
      <c r="Y6" s="28" t="s">
        <v>103</v>
      </c>
      <c r="Z6" s="28" t="s">
        <v>104</v>
      </c>
      <c r="AA6" s="27" t="s">
        <v>41</v>
      </c>
      <c r="AB6" s="31" t="s">
        <v>43</v>
      </c>
      <c r="AC6" s="23" t="s">
        <v>42</v>
      </c>
      <c r="AD6" s="16"/>
      <c r="AE6" s="16"/>
      <c r="AF6" s="16"/>
      <c r="AG6" s="16"/>
    </row>
    <row r="7" spans="1:33" x14ac:dyDescent="0.3">
      <c r="A7" s="78" t="s">
        <v>36</v>
      </c>
      <c r="B7" s="78" t="s">
        <v>110</v>
      </c>
      <c r="C7" s="78" t="s">
        <v>111</v>
      </c>
      <c r="D7" s="78" t="s">
        <v>112</v>
      </c>
      <c r="E7" s="78" t="s">
        <v>113</v>
      </c>
      <c r="F7" s="78" t="s">
        <v>114</v>
      </c>
      <c r="G7" s="78" t="s">
        <v>115</v>
      </c>
      <c r="H7" s="78" t="s">
        <v>116</v>
      </c>
      <c r="I7" s="78" t="s">
        <v>117</v>
      </c>
      <c r="J7" s="78" t="s">
        <v>118</v>
      </c>
      <c r="K7" s="78" t="s">
        <v>119</v>
      </c>
      <c r="L7" s="78" t="s">
        <v>120</v>
      </c>
      <c r="M7" s="78" t="s">
        <v>121</v>
      </c>
      <c r="N7" s="78" t="s">
        <v>122</v>
      </c>
      <c r="O7" s="78" t="s">
        <v>123</v>
      </c>
      <c r="P7" s="78" t="s">
        <v>124</v>
      </c>
      <c r="Q7" s="78" t="s">
        <v>125</v>
      </c>
      <c r="R7" s="78" t="s">
        <v>126</v>
      </c>
      <c r="S7" s="78" t="s">
        <v>127</v>
      </c>
      <c r="T7" s="78" t="s">
        <v>128</v>
      </c>
      <c r="U7" s="78" t="s">
        <v>129</v>
      </c>
      <c r="V7" s="78" t="s">
        <v>130</v>
      </c>
      <c r="W7" s="78" t="s">
        <v>131</v>
      </c>
      <c r="X7" s="78" t="s">
        <v>132</v>
      </c>
      <c r="Y7" s="78" t="s">
        <v>133</v>
      </c>
      <c r="Z7" s="78" t="s">
        <v>134</v>
      </c>
      <c r="AA7" s="78" t="s">
        <v>135</v>
      </c>
      <c r="AB7" s="78" t="s">
        <v>136</v>
      </c>
      <c r="AC7" s="78" t="s">
        <v>138</v>
      </c>
      <c r="AD7" s="16"/>
      <c r="AE7" s="16"/>
      <c r="AF7" s="16"/>
      <c r="AG7" s="16"/>
    </row>
    <row r="8" spans="1:33" ht="162" x14ac:dyDescent="0.3">
      <c r="A8" s="26" t="s">
        <v>36</v>
      </c>
      <c r="B8" s="26"/>
      <c r="C8" s="26" t="s">
        <v>73</v>
      </c>
      <c r="D8" s="26" t="s">
        <v>74</v>
      </c>
      <c r="E8" s="26" t="s">
        <v>71</v>
      </c>
      <c r="F8" s="26" t="s">
        <v>72</v>
      </c>
      <c r="G8" s="24">
        <v>15500.01</v>
      </c>
      <c r="H8" s="24">
        <f t="shared" ref="H8" si="0">G8-Q8</f>
        <v>6725</v>
      </c>
      <c r="I8" s="37">
        <v>6</v>
      </c>
      <c r="J8" s="37">
        <v>0</v>
      </c>
      <c r="K8" s="26" t="s">
        <v>75</v>
      </c>
      <c r="L8" s="26" t="s">
        <v>76</v>
      </c>
      <c r="M8" s="26" t="s">
        <v>77</v>
      </c>
      <c r="N8" s="25">
        <v>43655</v>
      </c>
      <c r="O8" s="26" t="s">
        <v>79</v>
      </c>
      <c r="P8" s="26" t="s">
        <v>78</v>
      </c>
      <c r="Q8" s="24">
        <v>8775.01</v>
      </c>
      <c r="R8" s="24">
        <f>Q8-V8</f>
        <v>0</v>
      </c>
      <c r="S8" s="26" t="s">
        <v>80</v>
      </c>
      <c r="T8" s="25">
        <v>43677</v>
      </c>
      <c r="U8" s="25" t="s">
        <v>81</v>
      </c>
      <c r="V8" s="24">
        <v>8775.01</v>
      </c>
      <c r="W8" s="25">
        <v>43696</v>
      </c>
      <c r="X8" s="26"/>
      <c r="Y8" s="72"/>
      <c r="Z8" s="72"/>
      <c r="AA8" s="25"/>
      <c r="AB8" s="24"/>
      <c r="AC8" s="26" t="s">
        <v>64</v>
      </c>
    </row>
    <row r="9" spans="1:33" s="108" customFormat="1" ht="168.75" customHeight="1" x14ac:dyDescent="0.3">
      <c r="A9" s="801">
        <v>1</v>
      </c>
      <c r="B9" s="786" t="s">
        <v>56</v>
      </c>
      <c r="C9" s="786" t="s">
        <v>250</v>
      </c>
      <c r="D9" s="786" t="s">
        <v>147</v>
      </c>
      <c r="E9" s="786" t="s">
        <v>251</v>
      </c>
      <c r="F9" s="786" t="s">
        <v>252</v>
      </c>
      <c r="G9" s="789">
        <v>26100</v>
      </c>
      <c r="H9" s="783">
        <f>IF(AD9 = 1, G9 - Q9,0)</f>
        <v>522</v>
      </c>
      <c r="I9" s="789">
        <v>4</v>
      </c>
      <c r="J9" s="789"/>
      <c r="K9" s="786" t="s">
        <v>179</v>
      </c>
      <c r="L9" s="795"/>
      <c r="M9" s="786" t="s">
        <v>253</v>
      </c>
      <c r="N9" s="798">
        <v>45009</v>
      </c>
      <c r="O9" s="786" t="s">
        <v>172</v>
      </c>
      <c r="P9" s="786" t="s">
        <v>171</v>
      </c>
      <c r="Q9" s="789">
        <v>25578</v>
      </c>
      <c r="R9" s="783">
        <f>IF(AD9 = 1, Q9 + SUM(Y9:Y15) - SUM(Z9:Z15) - SUM(V9:V15) - AB9,0)</f>
        <v>5684</v>
      </c>
      <c r="S9" s="786"/>
      <c r="T9" s="384">
        <v>45050</v>
      </c>
      <c r="U9" s="804" t="s">
        <v>254</v>
      </c>
      <c r="V9" s="378">
        <v>2842</v>
      </c>
      <c r="W9" s="384">
        <v>45061</v>
      </c>
      <c r="X9" s="379"/>
      <c r="Y9" s="378"/>
      <c r="Z9" s="378"/>
      <c r="AA9" s="804"/>
      <c r="AB9" s="789"/>
      <c r="AC9" s="792"/>
      <c r="AD9" s="108">
        <v>1</v>
      </c>
    </row>
    <row r="10" spans="1:33" s="2" customFormat="1" x14ac:dyDescent="0.3">
      <c r="A10" s="802"/>
      <c r="B10" s="787"/>
      <c r="C10" s="787"/>
      <c r="D10" s="787"/>
      <c r="E10" s="787"/>
      <c r="F10" s="787"/>
      <c r="G10" s="790"/>
      <c r="H10" s="784"/>
      <c r="I10" s="790"/>
      <c r="J10" s="790"/>
      <c r="K10" s="787"/>
      <c r="L10" s="796"/>
      <c r="M10" s="787"/>
      <c r="N10" s="799"/>
      <c r="O10" s="787"/>
      <c r="P10" s="787"/>
      <c r="Q10" s="790"/>
      <c r="R10" s="784"/>
      <c r="S10" s="787"/>
      <c r="T10" s="385">
        <v>45077</v>
      </c>
      <c r="U10" s="805"/>
      <c r="V10" s="380">
        <v>2842</v>
      </c>
      <c r="W10" s="385">
        <v>45082</v>
      </c>
      <c r="X10" s="381"/>
      <c r="Y10" s="380"/>
      <c r="Z10" s="380"/>
      <c r="AA10" s="805"/>
      <c r="AB10" s="790"/>
      <c r="AC10" s="793"/>
      <c r="AD10" s="2">
        <v>1</v>
      </c>
    </row>
    <row r="11" spans="1:33" s="2" customFormat="1" x14ac:dyDescent="0.3">
      <c r="A11" s="802"/>
      <c r="B11" s="787"/>
      <c r="C11" s="787"/>
      <c r="D11" s="787"/>
      <c r="E11" s="787"/>
      <c r="F11" s="787"/>
      <c r="G11" s="790"/>
      <c r="H11" s="784"/>
      <c r="I11" s="790"/>
      <c r="J11" s="790"/>
      <c r="K11" s="787"/>
      <c r="L11" s="796"/>
      <c r="M11" s="787"/>
      <c r="N11" s="799"/>
      <c r="O11" s="787"/>
      <c r="P11" s="787"/>
      <c r="Q11" s="790"/>
      <c r="R11" s="784"/>
      <c r="S11" s="787"/>
      <c r="T11" s="385">
        <v>45107</v>
      </c>
      <c r="U11" s="805"/>
      <c r="V11" s="380">
        <v>2842</v>
      </c>
      <c r="W11" s="385">
        <v>45117</v>
      </c>
      <c r="X11" s="381"/>
      <c r="Y11" s="380"/>
      <c r="Z11" s="380"/>
      <c r="AA11" s="805"/>
      <c r="AB11" s="790"/>
      <c r="AC11" s="793"/>
      <c r="AD11" s="2">
        <v>1</v>
      </c>
    </row>
    <row r="12" spans="1:33" s="2" customFormat="1" x14ac:dyDescent="0.3">
      <c r="A12" s="802"/>
      <c r="B12" s="787"/>
      <c r="C12" s="787"/>
      <c r="D12" s="787"/>
      <c r="E12" s="787"/>
      <c r="F12" s="787"/>
      <c r="G12" s="790"/>
      <c r="H12" s="784"/>
      <c r="I12" s="790"/>
      <c r="J12" s="790"/>
      <c r="K12" s="787"/>
      <c r="L12" s="796"/>
      <c r="M12" s="787"/>
      <c r="N12" s="799"/>
      <c r="O12" s="787"/>
      <c r="P12" s="787"/>
      <c r="Q12" s="790"/>
      <c r="R12" s="784"/>
      <c r="S12" s="787"/>
      <c r="T12" s="385">
        <v>45138</v>
      </c>
      <c r="U12" s="805"/>
      <c r="V12" s="380">
        <v>2842</v>
      </c>
      <c r="W12" s="385">
        <v>45145</v>
      </c>
      <c r="X12" s="381"/>
      <c r="Y12" s="380"/>
      <c r="Z12" s="380"/>
      <c r="AA12" s="805"/>
      <c r="AB12" s="790"/>
      <c r="AC12" s="793"/>
      <c r="AD12" s="2">
        <v>1</v>
      </c>
    </row>
    <row r="13" spans="1:33" s="2" customFormat="1" x14ac:dyDescent="0.3">
      <c r="A13" s="802"/>
      <c r="B13" s="787"/>
      <c r="C13" s="787"/>
      <c r="D13" s="787"/>
      <c r="E13" s="787"/>
      <c r="F13" s="787"/>
      <c r="G13" s="790"/>
      <c r="H13" s="784"/>
      <c r="I13" s="790"/>
      <c r="J13" s="790"/>
      <c r="K13" s="787"/>
      <c r="L13" s="796"/>
      <c r="M13" s="787"/>
      <c r="N13" s="799"/>
      <c r="O13" s="787"/>
      <c r="P13" s="787"/>
      <c r="Q13" s="790"/>
      <c r="R13" s="784"/>
      <c r="S13" s="787"/>
      <c r="T13" s="385">
        <v>45169</v>
      </c>
      <c r="U13" s="805"/>
      <c r="V13" s="380">
        <v>2842</v>
      </c>
      <c r="W13" s="385">
        <v>45176</v>
      </c>
      <c r="X13" s="381"/>
      <c r="Y13" s="380"/>
      <c r="Z13" s="380"/>
      <c r="AA13" s="805"/>
      <c r="AB13" s="790"/>
      <c r="AC13" s="793"/>
      <c r="AD13" s="2">
        <v>1</v>
      </c>
    </row>
    <row r="14" spans="1:33" s="2" customFormat="1" x14ac:dyDescent="0.3">
      <c r="A14" s="802"/>
      <c r="B14" s="787"/>
      <c r="C14" s="787"/>
      <c r="D14" s="787"/>
      <c r="E14" s="787"/>
      <c r="F14" s="787"/>
      <c r="G14" s="790"/>
      <c r="H14" s="784"/>
      <c r="I14" s="790"/>
      <c r="J14" s="790"/>
      <c r="K14" s="787"/>
      <c r="L14" s="796"/>
      <c r="M14" s="787"/>
      <c r="N14" s="799"/>
      <c r="O14" s="787"/>
      <c r="P14" s="787"/>
      <c r="Q14" s="790"/>
      <c r="R14" s="784"/>
      <c r="S14" s="787"/>
      <c r="T14" s="385">
        <v>45199</v>
      </c>
      <c r="U14" s="805"/>
      <c r="V14" s="380">
        <v>2842</v>
      </c>
      <c r="W14" s="385">
        <v>45204</v>
      </c>
      <c r="X14" s="381"/>
      <c r="Y14" s="380"/>
      <c r="Z14" s="380"/>
      <c r="AA14" s="805"/>
      <c r="AB14" s="790"/>
      <c r="AC14" s="793"/>
      <c r="AD14" s="2">
        <v>1</v>
      </c>
    </row>
    <row r="15" spans="1:33" s="2" customFormat="1" x14ac:dyDescent="0.3">
      <c r="A15" s="803"/>
      <c r="B15" s="788"/>
      <c r="C15" s="788"/>
      <c r="D15" s="788"/>
      <c r="E15" s="788"/>
      <c r="F15" s="788"/>
      <c r="G15" s="791"/>
      <c r="H15" s="785"/>
      <c r="I15" s="791"/>
      <c r="J15" s="791"/>
      <c r="K15" s="788"/>
      <c r="L15" s="797"/>
      <c r="M15" s="788"/>
      <c r="N15" s="800"/>
      <c r="O15" s="788"/>
      <c r="P15" s="788"/>
      <c r="Q15" s="791"/>
      <c r="R15" s="785"/>
      <c r="S15" s="788"/>
      <c r="T15" s="386">
        <v>45231</v>
      </c>
      <c r="U15" s="806"/>
      <c r="V15" s="382">
        <v>2842</v>
      </c>
      <c r="W15" s="386">
        <v>45240</v>
      </c>
      <c r="X15" s="383"/>
      <c r="Y15" s="382"/>
      <c r="Z15" s="382"/>
      <c r="AA15" s="806"/>
      <c r="AB15" s="791"/>
      <c r="AC15" s="794"/>
      <c r="AD15" s="2">
        <v>1</v>
      </c>
    </row>
    <row r="16" spans="1:33" x14ac:dyDescent="0.3">
      <c r="AD16" s="8">
        <v>2</v>
      </c>
    </row>
  </sheetData>
  <sheetProtection password="EB34" sheet="1" objects="1" scenarios="1" formatCells="0" formatColumns="0" formatRows="0"/>
  <mergeCells count="27">
    <mergeCell ref="E2:F2"/>
    <mergeCell ref="O2:P2"/>
    <mergeCell ref="Y2:AA2"/>
    <mergeCell ref="T2:U2"/>
    <mergeCell ref="O9:O15"/>
    <mergeCell ref="P9:P15"/>
    <mergeCell ref="A9:A15"/>
    <mergeCell ref="U9:U15"/>
    <mergeCell ref="AA9:AA15"/>
    <mergeCell ref="B9:B15"/>
    <mergeCell ref="Q9:Q15"/>
    <mergeCell ref="R9:R15"/>
    <mergeCell ref="S9:S15"/>
    <mergeCell ref="AB9:AB15"/>
    <mergeCell ref="C9:C15"/>
    <mergeCell ref="AC9:AC15"/>
    <mergeCell ref="D9:D15"/>
    <mergeCell ref="E9:E15"/>
    <mergeCell ref="F9:F15"/>
    <mergeCell ref="G9:G15"/>
    <mergeCell ref="H9:H15"/>
    <mergeCell ref="I9:I15"/>
    <mergeCell ref="J9:J15"/>
    <mergeCell ref="K9:K15"/>
    <mergeCell ref="L9:L15"/>
    <mergeCell ref="M9:M15"/>
    <mergeCell ref="N9:N15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0">
    <tabColor theme="3" tint="0.39997558519241921"/>
  </sheetPr>
  <dimension ref="A1:AL31"/>
  <sheetViews>
    <sheetView showGridLines="0" topLeftCell="O1" zoomScale="50" zoomScaleNormal="50" workbookViewId="0">
      <pane ySplit="8" topLeftCell="A25" activePane="bottomLeft" state="frozen"/>
      <selection pane="bottomLeft" activeCell="P9" sqref="P9:P30"/>
    </sheetView>
  </sheetViews>
  <sheetFormatPr defaultColWidth="0" defaultRowHeight="18" x14ac:dyDescent="0.3"/>
  <cols>
    <col min="1" max="1" width="9.109375" style="3" customWidth="1"/>
    <col min="2" max="2" width="47.109375" style="3" customWidth="1"/>
    <col min="3" max="3" width="34.44140625" style="3" customWidth="1"/>
    <col min="4" max="6" width="33.6640625" style="3" customWidth="1"/>
    <col min="7" max="7" width="22.33203125" style="11" customWidth="1"/>
    <col min="8" max="8" width="22.33203125" style="8" customWidth="1"/>
    <col min="9" max="9" width="24.33203125" style="35" customWidth="1"/>
    <col min="10" max="10" width="28.44140625" style="35" customWidth="1"/>
    <col min="11" max="12" width="19.5546875" style="3" customWidth="1"/>
    <col min="13" max="13" width="25.6640625" style="3" customWidth="1"/>
    <col min="14" max="14" width="24.44140625" style="12" bestFit="1" customWidth="1"/>
    <col min="15" max="15" width="24.44140625" style="3" customWidth="1"/>
    <col min="16" max="16" width="31.5546875" style="3" customWidth="1"/>
    <col min="17" max="17" width="27" style="11" customWidth="1"/>
    <col min="18" max="18" width="21.88671875" style="8" customWidth="1"/>
    <col min="19" max="19" width="23.5546875" style="8" customWidth="1"/>
    <col min="20" max="20" width="32.44140625" style="8" customWidth="1"/>
    <col min="21" max="21" width="27.6640625" style="8" customWidth="1"/>
    <col min="22" max="22" width="25.44140625" style="8" customWidth="1"/>
    <col min="23" max="23" width="25" style="8" customWidth="1"/>
    <col min="24" max="26" width="25.109375" style="8" customWidth="1"/>
    <col min="27" max="27" width="23.88671875" style="8" customWidth="1"/>
    <col min="28" max="28" width="20.33203125" style="8" customWidth="1"/>
    <col min="29" max="29" width="20" style="8" customWidth="1"/>
    <col min="30" max="38" width="0" style="8" hidden="1" customWidth="1"/>
    <col min="39" max="16384" width="9.109375" style="8" hidden="1"/>
  </cols>
  <sheetData>
    <row r="1" spans="1:33" ht="18.600000000000001" thickBot="1" x14ac:dyDescent="0.35">
      <c r="T1" s="16"/>
    </row>
    <row r="2" spans="1:33" ht="39.9" customHeight="1" thickBot="1" x14ac:dyDescent="0.35">
      <c r="E2" s="683" t="s">
        <v>139</v>
      </c>
      <c r="F2" s="684"/>
      <c r="G2" s="100">
        <f>SUM(G9:G9999)</f>
        <v>763740.72</v>
      </c>
      <c r="H2" s="15"/>
      <c r="O2" s="683" t="s">
        <v>24</v>
      </c>
      <c r="P2" s="684"/>
      <c r="Q2" s="98">
        <f>SUM(Q9:Q9999)</f>
        <v>763740.72</v>
      </c>
      <c r="T2" s="519" t="s">
        <v>137</v>
      </c>
      <c r="U2" s="521"/>
      <c r="V2" s="87">
        <f>SUM(V9:V9999)</f>
        <v>364893.69999999995</v>
      </c>
      <c r="X2" s="86"/>
      <c r="Y2" s="519" t="s">
        <v>45</v>
      </c>
      <c r="Z2" s="520"/>
      <c r="AA2" s="521"/>
      <c r="AB2" s="88">
        <f>SUM(AB9:AB9999)</f>
        <v>398847.02</v>
      </c>
    </row>
    <row r="4" spans="1:33" ht="39.9" customHeight="1" x14ac:dyDescent="0.3"/>
    <row r="6" spans="1:33" ht="108" x14ac:dyDescent="0.3">
      <c r="A6" s="23" t="s">
        <v>8</v>
      </c>
      <c r="B6" s="23" t="s">
        <v>47</v>
      </c>
      <c r="C6" s="23" t="s">
        <v>33</v>
      </c>
      <c r="D6" s="23" t="s">
        <v>10</v>
      </c>
      <c r="E6" s="23" t="s">
        <v>11</v>
      </c>
      <c r="F6" s="23" t="s">
        <v>12</v>
      </c>
      <c r="G6" s="31" t="s">
        <v>13</v>
      </c>
      <c r="H6" s="1" t="s">
        <v>34</v>
      </c>
      <c r="I6" s="36" t="s">
        <v>16</v>
      </c>
      <c r="J6" s="36" t="s">
        <v>17</v>
      </c>
      <c r="K6" s="23" t="s">
        <v>14</v>
      </c>
      <c r="L6" s="23" t="s">
        <v>32</v>
      </c>
      <c r="M6" s="23" t="s">
        <v>15</v>
      </c>
      <c r="N6" s="30" t="s">
        <v>0</v>
      </c>
      <c r="O6" s="23" t="s">
        <v>46</v>
      </c>
      <c r="P6" s="23" t="s">
        <v>5</v>
      </c>
      <c r="Q6" s="31" t="s">
        <v>38</v>
      </c>
      <c r="R6" s="1" t="s">
        <v>22</v>
      </c>
      <c r="S6" s="1" t="s">
        <v>19</v>
      </c>
      <c r="T6" s="1" t="s">
        <v>37</v>
      </c>
      <c r="U6" s="1" t="s">
        <v>20</v>
      </c>
      <c r="V6" s="1" t="s">
        <v>23</v>
      </c>
      <c r="W6" s="1" t="s">
        <v>9</v>
      </c>
      <c r="X6" s="17" t="s">
        <v>40</v>
      </c>
      <c r="Y6" s="17" t="s">
        <v>103</v>
      </c>
      <c r="Z6" s="17" t="s">
        <v>104</v>
      </c>
      <c r="AA6" s="17" t="s">
        <v>41</v>
      </c>
      <c r="AB6" s="1" t="s">
        <v>43</v>
      </c>
      <c r="AC6" s="1" t="s">
        <v>42</v>
      </c>
      <c r="AD6" s="16"/>
      <c r="AE6" s="16"/>
      <c r="AF6" s="16"/>
      <c r="AG6" s="16"/>
    </row>
    <row r="7" spans="1:33" x14ac:dyDescent="0.3">
      <c r="A7" s="78" t="s">
        <v>36</v>
      </c>
      <c r="B7" s="78" t="s">
        <v>110</v>
      </c>
      <c r="C7" s="78" t="s">
        <v>111</v>
      </c>
      <c r="D7" s="78" t="s">
        <v>112</v>
      </c>
      <c r="E7" s="78" t="s">
        <v>113</v>
      </c>
      <c r="F7" s="78" t="s">
        <v>114</v>
      </c>
      <c r="G7" s="78" t="s">
        <v>115</v>
      </c>
      <c r="H7" s="78" t="s">
        <v>116</v>
      </c>
      <c r="I7" s="78" t="s">
        <v>117</v>
      </c>
      <c r="J7" s="78" t="s">
        <v>118</v>
      </c>
      <c r="K7" s="78" t="s">
        <v>119</v>
      </c>
      <c r="L7" s="78" t="s">
        <v>120</v>
      </c>
      <c r="M7" s="78" t="s">
        <v>121</v>
      </c>
      <c r="N7" s="78" t="s">
        <v>122</v>
      </c>
      <c r="O7" s="78" t="s">
        <v>123</v>
      </c>
      <c r="P7" s="78" t="s">
        <v>124</v>
      </c>
      <c r="Q7" s="78" t="s">
        <v>125</v>
      </c>
      <c r="R7" s="78" t="s">
        <v>126</v>
      </c>
      <c r="S7" s="78" t="s">
        <v>127</v>
      </c>
      <c r="T7" s="78" t="s">
        <v>128</v>
      </c>
      <c r="U7" s="78" t="s">
        <v>129</v>
      </c>
      <c r="V7" s="78" t="s">
        <v>130</v>
      </c>
      <c r="W7" s="78" t="s">
        <v>131</v>
      </c>
      <c r="X7" s="78" t="s">
        <v>132</v>
      </c>
      <c r="Y7" s="78" t="s">
        <v>133</v>
      </c>
      <c r="Z7" s="78" t="s">
        <v>134</v>
      </c>
      <c r="AA7" s="78" t="s">
        <v>135</v>
      </c>
      <c r="AB7" s="78" t="s">
        <v>136</v>
      </c>
      <c r="AC7" s="78" t="s">
        <v>138</v>
      </c>
      <c r="AD7" s="16"/>
      <c r="AE7" s="16"/>
      <c r="AF7" s="16"/>
      <c r="AG7" s="16"/>
    </row>
    <row r="8" spans="1:33" ht="162" x14ac:dyDescent="0.3">
      <c r="A8" s="72" t="s">
        <v>36</v>
      </c>
      <c r="B8" s="72"/>
      <c r="C8" s="72" t="s">
        <v>73</v>
      </c>
      <c r="D8" s="72" t="s">
        <v>74</v>
      </c>
      <c r="E8" s="72" t="s">
        <v>71</v>
      </c>
      <c r="F8" s="72" t="s">
        <v>72</v>
      </c>
      <c r="G8" s="74">
        <v>15500.01</v>
      </c>
      <c r="H8" s="74">
        <f t="shared" ref="H8" si="0">G8-Q8</f>
        <v>6725</v>
      </c>
      <c r="I8" s="97">
        <v>6</v>
      </c>
      <c r="J8" s="97">
        <v>0</v>
      </c>
      <c r="K8" s="72" t="s">
        <v>75</v>
      </c>
      <c r="L8" s="72" t="s">
        <v>76</v>
      </c>
      <c r="M8" s="72" t="s">
        <v>77</v>
      </c>
      <c r="N8" s="73">
        <v>43655</v>
      </c>
      <c r="O8" s="72" t="s">
        <v>79</v>
      </c>
      <c r="P8" s="72" t="s">
        <v>78</v>
      </c>
      <c r="Q8" s="74">
        <v>8775.01</v>
      </c>
      <c r="R8" s="74">
        <f>Q8-V8</f>
        <v>0</v>
      </c>
      <c r="S8" s="72" t="s">
        <v>80</v>
      </c>
      <c r="T8" s="73">
        <v>43677</v>
      </c>
      <c r="U8" s="72" t="s">
        <v>81</v>
      </c>
      <c r="V8" s="74">
        <v>8775.01</v>
      </c>
      <c r="W8" s="73">
        <v>43696</v>
      </c>
      <c r="X8" s="72"/>
      <c r="Y8" s="72"/>
      <c r="Z8" s="72"/>
      <c r="AA8" s="72"/>
      <c r="AB8" s="74"/>
      <c r="AC8" s="75" t="s">
        <v>64</v>
      </c>
    </row>
    <row r="9" spans="1:33" s="108" customFormat="1" ht="75" customHeight="1" x14ac:dyDescent="0.3">
      <c r="A9" s="807">
        <v>1</v>
      </c>
      <c r="B9" s="809" t="s">
        <v>56</v>
      </c>
      <c r="C9" s="809" t="s">
        <v>278</v>
      </c>
      <c r="D9" s="809" t="s">
        <v>147</v>
      </c>
      <c r="E9" s="809" t="s">
        <v>279</v>
      </c>
      <c r="F9" s="809" t="s">
        <v>280</v>
      </c>
      <c r="G9" s="811">
        <v>763740.72</v>
      </c>
      <c r="H9" s="813">
        <f>IF(AD9 = 1, G9 - Q9,0)</f>
        <v>0</v>
      </c>
      <c r="I9" s="811">
        <v>1</v>
      </c>
      <c r="J9" s="811"/>
      <c r="K9" s="809" t="s">
        <v>179</v>
      </c>
      <c r="L9" s="809"/>
      <c r="M9" s="809" t="s">
        <v>279</v>
      </c>
      <c r="N9" s="817">
        <v>45023</v>
      </c>
      <c r="O9" s="809" t="s">
        <v>281</v>
      </c>
      <c r="P9" s="809" t="s">
        <v>282</v>
      </c>
      <c r="Q9" s="811">
        <v>763740.72</v>
      </c>
      <c r="R9" s="813">
        <f>IF(AD9 = 1, Q9 + SUM(Y9:Y30) - SUM(Z9:Z30) - SUM(V9:V30) - AB9,0)</f>
        <v>0</v>
      </c>
      <c r="S9" s="809"/>
      <c r="T9" s="246">
        <v>45062</v>
      </c>
      <c r="U9" s="809" t="s">
        <v>283</v>
      </c>
      <c r="V9" s="242">
        <v>11850</v>
      </c>
      <c r="W9" s="246">
        <v>45064</v>
      </c>
      <c r="X9" s="243"/>
      <c r="Y9" s="242"/>
      <c r="Z9" s="242"/>
      <c r="AA9" s="809"/>
      <c r="AB9" s="811">
        <v>398847.02</v>
      </c>
      <c r="AC9" s="815"/>
      <c r="AD9" s="108">
        <v>1</v>
      </c>
    </row>
    <row r="10" spans="1:33" s="2" customFormat="1" x14ac:dyDescent="0.3">
      <c r="A10" s="808"/>
      <c r="B10" s="810"/>
      <c r="C10" s="810"/>
      <c r="D10" s="810"/>
      <c r="E10" s="810"/>
      <c r="F10" s="810"/>
      <c r="G10" s="812"/>
      <c r="H10" s="814"/>
      <c r="I10" s="812"/>
      <c r="J10" s="812"/>
      <c r="K10" s="810"/>
      <c r="L10" s="810"/>
      <c r="M10" s="810"/>
      <c r="N10" s="818"/>
      <c r="O10" s="810"/>
      <c r="P10" s="810"/>
      <c r="Q10" s="812"/>
      <c r="R10" s="814"/>
      <c r="S10" s="810"/>
      <c r="T10" s="247">
        <v>45062</v>
      </c>
      <c r="U10" s="810"/>
      <c r="V10" s="244">
        <v>28425</v>
      </c>
      <c r="W10" s="247">
        <v>45064</v>
      </c>
      <c r="X10" s="245"/>
      <c r="Y10" s="244"/>
      <c r="Z10" s="244"/>
      <c r="AA10" s="810"/>
      <c r="AB10" s="812"/>
      <c r="AC10" s="816"/>
      <c r="AD10" s="2">
        <v>1</v>
      </c>
    </row>
    <row r="11" spans="1:33" s="2" customFormat="1" x14ac:dyDescent="0.3">
      <c r="A11" s="808"/>
      <c r="B11" s="810"/>
      <c r="C11" s="810"/>
      <c r="D11" s="810"/>
      <c r="E11" s="810"/>
      <c r="F11" s="810"/>
      <c r="G11" s="812"/>
      <c r="H11" s="814"/>
      <c r="I11" s="812"/>
      <c r="J11" s="812"/>
      <c r="K11" s="810"/>
      <c r="L11" s="810"/>
      <c r="M11" s="810"/>
      <c r="N11" s="818"/>
      <c r="O11" s="810"/>
      <c r="P11" s="810"/>
      <c r="Q11" s="812"/>
      <c r="R11" s="814"/>
      <c r="S11" s="810"/>
      <c r="T11" s="247">
        <v>45062</v>
      </c>
      <c r="U11" s="810"/>
      <c r="V11" s="244">
        <v>82766.22</v>
      </c>
      <c r="W11" s="247">
        <v>45064</v>
      </c>
      <c r="X11" s="245"/>
      <c r="Y11" s="244"/>
      <c r="Z11" s="244"/>
      <c r="AA11" s="810"/>
      <c r="AB11" s="812"/>
      <c r="AC11" s="816"/>
      <c r="AD11" s="2">
        <v>1</v>
      </c>
    </row>
    <row r="12" spans="1:33" s="2" customFormat="1" x14ac:dyDescent="0.3">
      <c r="A12" s="808"/>
      <c r="B12" s="810"/>
      <c r="C12" s="810"/>
      <c r="D12" s="810"/>
      <c r="E12" s="810"/>
      <c r="F12" s="810"/>
      <c r="G12" s="812"/>
      <c r="H12" s="814"/>
      <c r="I12" s="812"/>
      <c r="J12" s="812"/>
      <c r="K12" s="810"/>
      <c r="L12" s="810"/>
      <c r="M12" s="810"/>
      <c r="N12" s="818"/>
      <c r="O12" s="810"/>
      <c r="P12" s="810"/>
      <c r="Q12" s="812"/>
      <c r="R12" s="814"/>
      <c r="S12" s="810"/>
      <c r="T12" s="247">
        <v>45062</v>
      </c>
      <c r="U12" s="810"/>
      <c r="V12" s="244">
        <v>5283.06</v>
      </c>
      <c r="W12" s="247">
        <v>45064</v>
      </c>
      <c r="X12" s="245"/>
      <c r="Y12" s="244"/>
      <c r="Z12" s="244"/>
      <c r="AA12" s="810"/>
      <c r="AB12" s="812"/>
      <c r="AC12" s="816"/>
      <c r="AD12" s="2">
        <v>1</v>
      </c>
    </row>
    <row r="13" spans="1:33" s="2" customFormat="1" x14ac:dyDescent="0.3">
      <c r="A13" s="808"/>
      <c r="B13" s="810"/>
      <c r="C13" s="810"/>
      <c r="D13" s="810"/>
      <c r="E13" s="810"/>
      <c r="F13" s="810"/>
      <c r="G13" s="812"/>
      <c r="H13" s="814"/>
      <c r="I13" s="812"/>
      <c r="J13" s="812"/>
      <c r="K13" s="810"/>
      <c r="L13" s="810"/>
      <c r="M13" s="810"/>
      <c r="N13" s="818"/>
      <c r="O13" s="810"/>
      <c r="P13" s="810"/>
      <c r="Q13" s="812"/>
      <c r="R13" s="814"/>
      <c r="S13" s="810"/>
      <c r="T13" s="247">
        <v>45062</v>
      </c>
      <c r="U13" s="810"/>
      <c r="V13" s="244">
        <v>875</v>
      </c>
      <c r="W13" s="247">
        <v>45064</v>
      </c>
      <c r="X13" s="245"/>
      <c r="Y13" s="244"/>
      <c r="Z13" s="244"/>
      <c r="AA13" s="810"/>
      <c r="AB13" s="812"/>
      <c r="AC13" s="816"/>
      <c r="AD13" s="2">
        <v>1</v>
      </c>
    </row>
    <row r="14" spans="1:33" s="2" customFormat="1" x14ac:dyDescent="0.3">
      <c r="A14" s="808"/>
      <c r="B14" s="810"/>
      <c r="C14" s="810"/>
      <c r="D14" s="810"/>
      <c r="E14" s="810"/>
      <c r="F14" s="810"/>
      <c r="G14" s="812"/>
      <c r="H14" s="814"/>
      <c r="I14" s="812"/>
      <c r="J14" s="812"/>
      <c r="K14" s="810"/>
      <c r="L14" s="810"/>
      <c r="M14" s="810"/>
      <c r="N14" s="818"/>
      <c r="O14" s="810"/>
      <c r="P14" s="810"/>
      <c r="Q14" s="812"/>
      <c r="R14" s="814"/>
      <c r="S14" s="810"/>
      <c r="T14" s="247">
        <v>45062</v>
      </c>
      <c r="U14" s="810"/>
      <c r="V14" s="244">
        <v>7800</v>
      </c>
      <c r="W14" s="247">
        <v>45064</v>
      </c>
      <c r="X14" s="245"/>
      <c r="Y14" s="244"/>
      <c r="Z14" s="244"/>
      <c r="AA14" s="810"/>
      <c r="AB14" s="812"/>
      <c r="AC14" s="816"/>
      <c r="AD14" s="2">
        <v>1</v>
      </c>
    </row>
    <row r="15" spans="1:33" s="2" customFormat="1" x14ac:dyDescent="0.3">
      <c r="A15" s="808"/>
      <c r="B15" s="810"/>
      <c r="C15" s="810"/>
      <c r="D15" s="810"/>
      <c r="E15" s="810"/>
      <c r="F15" s="810"/>
      <c r="G15" s="812"/>
      <c r="H15" s="814"/>
      <c r="I15" s="812"/>
      <c r="J15" s="812"/>
      <c r="K15" s="810"/>
      <c r="L15" s="810"/>
      <c r="M15" s="810"/>
      <c r="N15" s="818"/>
      <c r="O15" s="810"/>
      <c r="P15" s="810"/>
      <c r="Q15" s="812"/>
      <c r="R15" s="814"/>
      <c r="S15" s="810"/>
      <c r="T15" s="247">
        <v>45062</v>
      </c>
      <c r="U15" s="810"/>
      <c r="V15" s="244">
        <v>3106.89</v>
      </c>
      <c r="W15" s="247">
        <v>45064</v>
      </c>
      <c r="X15" s="245"/>
      <c r="Y15" s="244"/>
      <c r="Z15" s="244"/>
      <c r="AA15" s="810"/>
      <c r="AB15" s="812"/>
      <c r="AC15" s="816"/>
      <c r="AD15" s="2">
        <v>1</v>
      </c>
    </row>
    <row r="16" spans="1:33" s="2" customFormat="1" x14ac:dyDescent="0.3">
      <c r="A16" s="808"/>
      <c r="B16" s="810"/>
      <c r="C16" s="810"/>
      <c r="D16" s="810"/>
      <c r="E16" s="810"/>
      <c r="F16" s="810"/>
      <c r="G16" s="812"/>
      <c r="H16" s="814"/>
      <c r="I16" s="812"/>
      <c r="J16" s="812"/>
      <c r="K16" s="810"/>
      <c r="L16" s="810"/>
      <c r="M16" s="810"/>
      <c r="N16" s="818"/>
      <c r="O16" s="810"/>
      <c r="P16" s="810"/>
      <c r="Q16" s="812"/>
      <c r="R16" s="814"/>
      <c r="S16" s="810"/>
      <c r="T16" s="247">
        <v>45062</v>
      </c>
      <c r="U16" s="810"/>
      <c r="V16" s="244">
        <v>14942.3</v>
      </c>
      <c r="W16" s="247">
        <v>45064</v>
      </c>
      <c r="X16" s="245"/>
      <c r="Y16" s="244"/>
      <c r="Z16" s="244"/>
      <c r="AA16" s="810"/>
      <c r="AB16" s="812"/>
      <c r="AC16" s="816"/>
      <c r="AD16" s="2">
        <v>1</v>
      </c>
    </row>
    <row r="17" spans="1:30" s="2" customFormat="1" x14ac:dyDescent="0.3">
      <c r="A17" s="808"/>
      <c r="B17" s="810"/>
      <c r="C17" s="810"/>
      <c r="D17" s="810"/>
      <c r="E17" s="810"/>
      <c r="F17" s="810"/>
      <c r="G17" s="812"/>
      <c r="H17" s="814"/>
      <c r="I17" s="812"/>
      <c r="J17" s="812"/>
      <c r="K17" s="810"/>
      <c r="L17" s="810"/>
      <c r="M17" s="810"/>
      <c r="N17" s="818"/>
      <c r="O17" s="810"/>
      <c r="P17" s="810"/>
      <c r="Q17" s="812"/>
      <c r="R17" s="814"/>
      <c r="S17" s="810"/>
      <c r="T17" s="247">
        <v>45062</v>
      </c>
      <c r="U17" s="810"/>
      <c r="V17" s="244">
        <v>12225.52</v>
      </c>
      <c r="W17" s="247">
        <v>45064</v>
      </c>
      <c r="X17" s="245"/>
      <c r="Y17" s="244"/>
      <c r="Z17" s="244"/>
      <c r="AA17" s="810"/>
      <c r="AB17" s="812"/>
      <c r="AC17" s="816"/>
      <c r="AD17" s="2">
        <v>1</v>
      </c>
    </row>
    <row r="18" spans="1:30" s="2" customFormat="1" x14ac:dyDescent="0.3">
      <c r="A18" s="808"/>
      <c r="B18" s="810"/>
      <c r="C18" s="810"/>
      <c r="D18" s="810"/>
      <c r="E18" s="810"/>
      <c r="F18" s="810"/>
      <c r="G18" s="812"/>
      <c r="H18" s="814"/>
      <c r="I18" s="812"/>
      <c r="J18" s="812"/>
      <c r="K18" s="810"/>
      <c r="L18" s="810"/>
      <c r="M18" s="810"/>
      <c r="N18" s="818"/>
      <c r="O18" s="810"/>
      <c r="P18" s="810"/>
      <c r="Q18" s="812"/>
      <c r="R18" s="814"/>
      <c r="S18" s="810"/>
      <c r="T18" s="247">
        <v>45064</v>
      </c>
      <c r="U18" s="810"/>
      <c r="V18" s="244">
        <v>31986.71</v>
      </c>
      <c r="W18" s="247">
        <v>45070</v>
      </c>
      <c r="X18" s="245"/>
      <c r="Y18" s="244"/>
      <c r="Z18" s="244"/>
      <c r="AA18" s="810"/>
      <c r="AB18" s="812"/>
      <c r="AC18" s="816"/>
      <c r="AD18" s="2">
        <v>1</v>
      </c>
    </row>
    <row r="19" spans="1:30" s="2" customFormat="1" x14ac:dyDescent="0.3">
      <c r="A19" s="808"/>
      <c r="B19" s="810"/>
      <c r="C19" s="810"/>
      <c r="D19" s="810"/>
      <c r="E19" s="810"/>
      <c r="F19" s="810"/>
      <c r="G19" s="812"/>
      <c r="H19" s="814"/>
      <c r="I19" s="812"/>
      <c r="J19" s="812"/>
      <c r="K19" s="810"/>
      <c r="L19" s="810"/>
      <c r="M19" s="810"/>
      <c r="N19" s="818"/>
      <c r="O19" s="810"/>
      <c r="P19" s="810"/>
      <c r="Q19" s="812"/>
      <c r="R19" s="814"/>
      <c r="S19" s="810"/>
      <c r="T19" s="247">
        <v>45064</v>
      </c>
      <c r="U19" s="810"/>
      <c r="V19" s="244">
        <v>2041.75</v>
      </c>
      <c r="W19" s="247">
        <v>45070</v>
      </c>
      <c r="X19" s="245"/>
      <c r="Y19" s="244"/>
      <c r="Z19" s="244"/>
      <c r="AA19" s="810"/>
      <c r="AB19" s="812"/>
      <c r="AC19" s="816"/>
      <c r="AD19" s="2">
        <v>1</v>
      </c>
    </row>
    <row r="20" spans="1:30" s="2" customFormat="1" x14ac:dyDescent="0.3">
      <c r="A20" s="808"/>
      <c r="B20" s="810"/>
      <c r="C20" s="810"/>
      <c r="D20" s="810"/>
      <c r="E20" s="810"/>
      <c r="F20" s="810"/>
      <c r="G20" s="812"/>
      <c r="H20" s="814"/>
      <c r="I20" s="812"/>
      <c r="J20" s="812"/>
      <c r="K20" s="810"/>
      <c r="L20" s="810"/>
      <c r="M20" s="810"/>
      <c r="N20" s="818"/>
      <c r="O20" s="810"/>
      <c r="P20" s="810"/>
      <c r="Q20" s="812"/>
      <c r="R20" s="814"/>
      <c r="S20" s="810"/>
      <c r="T20" s="247">
        <v>45079</v>
      </c>
      <c r="U20" s="810"/>
      <c r="V20" s="244">
        <v>29287.41</v>
      </c>
      <c r="W20" s="247">
        <v>45075</v>
      </c>
      <c r="X20" s="245"/>
      <c r="Y20" s="244"/>
      <c r="Z20" s="244"/>
      <c r="AA20" s="810"/>
      <c r="AB20" s="812"/>
      <c r="AC20" s="816"/>
      <c r="AD20" s="2">
        <v>1</v>
      </c>
    </row>
    <row r="21" spans="1:30" s="2" customFormat="1" x14ac:dyDescent="0.3">
      <c r="A21" s="808"/>
      <c r="B21" s="810"/>
      <c r="C21" s="810"/>
      <c r="D21" s="810"/>
      <c r="E21" s="810"/>
      <c r="F21" s="810"/>
      <c r="G21" s="812"/>
      <c r="H21" s="814"/>
      <c r="I21" s="812"/>
      <c r="J21" s="812"/>
      <c r="K21" s="810"/>
      <c r="L21" s="810"/>
      <c r="M21" s="810"/>
      <c r="N21" s="818"/>
      <c r="O21" s="810"/>
      <c r="P21" s="810"/>
      <c r="Q21" s="812"/>
      <c r="R21" s="814"/>
      <c r="S21" s="810"/>
      <c r="T21" s="247">
        <v>45079</v>
      </c>
      <c r="U21" s="810"/>
      <c r="V21" s="244">
        <v>1869.45</v>
      </c>
      <c r="W21" s="247">
        <v>45075</v>
      </c>
      <c r="X21" s="245"/>
      <c r="Y21" s="244"/>
      <c r="Z21" s="244"/>
      <c r="AA21" s="810"/>
      <c r="AB21" s="812"/>
      <c r="AC21" s="816"/>
      <c r="AD21" s="2">
        <v>1</v>
      </c>
    </row>
    <row r="22" spans="1:30" s="2" customFormat="1" x14ac:dyDescent="0.3">
      <c r="A22" s="808"/>
      <c r="B22" s="810"/>
      <c r="C22" s="810"/>
      <c r="D22" s="810"/>
      <c r="E22" s="810"/>
      <c r="F22" s="810"/>
      <c r="G22" s="812"/>
      <c r="H22" s="814"/>
      <c r="I22" s="812"/>
      <c r="J22" s="812"/>
      <c r="K22" s="810"/>
      <c r="L22" s="810"/>
      <c r="M22" s="810"/>
      <c r="N22" s="818"/>
      <c r="O22" s="810"/>
      <c r="P22" s="810"/>
      <c r="Q22" s="812"/>
      <c r="R22" s="814"/>
      <c r="S22" s="810"/>
      <c r="T22" s="247">
        <v>45079</v>
      </c>
      <c r="U22" s="810"/>
      <c r="V22" s="244">
        <v>10850</v>
      </c>
      <c r="W22" s="247">
        <v>45075</v>
      </c>
      <c r="X22" s="245"/>
      <c r="Y22" s="244"/>
      <c r="Z22" s="244"/>
      <c r="AA22" s="810"/>
      <c r="AB22" s="812"/>
      <c r="AC22" s="816"/>
      <c r="AD22" s="2">
        <v>1</v>
      </c>
    </row>
    <row r="23" spans="1:30" s="2" customFormat="1" x14ac:dyDescent="0.3">
      <c r="A23" s="808"/>
      <c r="B23" s="810"/>
      <c r="C23" s="810"/>
      <c r="D23" s="810"/>
      <c r="E23" s="810"/>
      <c r="F23" s="810"/>
      <c r="G23" s="812"/>
      <c r="H23" s="814"/>
      <c r="I23" s="812"/>
      <c r="J23" s="812"/>
      <c r="K23" s="810"/>
      <c r="L23" s="810"/>
      <c r="M23" s="810"/>
      <c r="N23" s="818"/>
      <c r="O23" s="810"/>
      <c r="P23" s="810"/>
      <c r="Q23" s="812"/>
      <c r="R23" s="814"/>
      <c r="S23" s="810"/>
      <c r="T23" s="247">
        <v>45079</v>
      </c>
      <c r="U23" s="810"/>
      <c r="V23" s="244">
        <v>5925</v>
      </c>
      <c r="W23" s="247">
        <v>45072</v>
      </c>
      <c r="X23" s="245"/>
      <c r="Y23" s="244"/>
      <c r="Z23" s="244"/>
      <c r="AA23" s="810"/>
      <c r="AB23" s="812"/>
      <c r="AC23" s="816"/>
      <c r="AD23" s="2">
        <v>1</v>
      </c>
    </row>
    <row r="24" spans="1:30" s="2" customFormat="1" x14ac:dyDescent="0.3">
      <c r="A24" s="808"/>
      <c r="B24" s="810"/>
      <c r="C24" s="810"/>
      <c r="D24" s="810"/>
      <c r="E24" s="810"/>
      <c r="F24" s="810"/>
      <c r="G24" s="812"/>
      <c r="H24" s="814"/>
      <c r="I24" s="812"/>
      <c r="J24" s="812"/>
      <c r="K24" s="810"/>
      <c r="L24" s="810"/>
      <c r="M24" s="810"/>
      <c r="N24" s="818"/>
      <c r="O24" s="810"/>
      <c r="P24" s="810"/>
      <c r="Q24" s="812"/>
      <c r="R24" s="814"/>
      <c r="S24" s="810"/>
      <c r="T24" s="247">
        <v>45079</v>
      </c>
      <c r="U24" s="810"/>
      <c r="V24" s="244">
        <v>700</v>
      </c>
      <c r="W24" s="247">
        <v>45072</v>
      </c>
      <c r="X24" s="245"/>
      <c r="Y24" s="244"/>
      <c r="Z24" s="244"/>
      <c r="AA24" s="810"/>
      <c r="AB24" s="812"/>
      <c r="AC24" s="816"/>
      <c r="AD24" s="2">
        <v>1</v>
      </c>
    </row>
    <row r="25" spans="1:30" s="2" customFormat="1" x14ac:dyDescent="0.3">
      <c r="A25" s="808"/>
      <c r="B25" s="810"/>
      <c r="C25" s="810"/>
      <c r="D25" s="810"/>
      <c r="E25" s="810"/>
      <c r="F25" s="810"/>
      <c r="G25" s="812"/>
      <c r="H25" s="814"/>
      <c r="I25" s="812"/>
      <c r="J25" s="812"/>
      <c r="K25" s="810"/>
      <c r="L25" s="810"/>
      <c r="M25" s="810"/>
      <c r="N25" s="818"/>
      <c r="O25" s="810"/>
      <c r="P25" s="810"/>
      <c r="Q25" s="812"/>
      <c r="R25" s="814"/>
      <c r="S25" s="810"/>
      <c r="T25" s="247">
        <v>45079</v>
      </c>
      <c r="U25" s="810"/>
      <c r="V25" s="244">
        <v>23700</v>
      </c>
      <c r="W25" s="247">
        <v>45072</v>
      </c>
      <c r="X25" s="245"/>
      <c r="Y25" s="244"/>
      <c r="Z25" s="244"/>
      <c r="AA25" s="810"/>
      <c r="AB25" s="812"/>
      <c r="AC25" s="816"/>
      <c r="AD25" s="2">
        <v>1</v>
      </c>
    </row>
    <row r="26" spans="1:30" s="2" customFormat="1" x14ac:dyDescent="0.3">
      <c r="A26" s="808"/>
      <c r="B26" s="810"/>
      <c r="C26" s="810"/>
      <c r="D26" s="810"/>
      <c r="E26" s="810"/>
      <c r="F26" s="810"/>
      <c r="G26" s="812"/>
      <c r="H26" s="814"/>
      <c r="I26" s="812"/>
      <c r="J26" s="812"/>
      <c r="K26" s="810"/>
      <c r="L26" s="810"/>
      <c r="M26" s="810"/>
      <c r="N26" s="818"/>
      <c r="O26" s="810"/>
      <c r="P26" s="810"/>
      <c r="Q26" s="812"/>
      <c r="R26" s="814"/>
      <c r="S26" s="810"/>
      <c r="T26" s="247">
        <v>45079</v>
      </c>
      <c r="U26" s="810"/>
      <c r="V26" s="244">
        <v>2499.16</v>
      </c>
      <c r="W26" s="247">
        <v>45072</v>
      </c>
      <c r="X26" s="245"/>
      <c r="Y26" s="244"/>
      <c r="Z26" s="244"/>
      <c r="AA26" s="810"/>
      <c r="AB26" s="812"/>
      <c r="AC26" s="816"/>
      <c r="AD26" s="2">
        <v>1</v>
      </c>
    </row>
    <row r="27" spans="1:30" s="2" customFormat="1" x14ac:dyDescent="0.3">
      <c r="A27" s="808"/>
      <c r="B27" s="810"/>
      <c r="C27" s="810"/>
      <c r="D27" s="810"/>
      <c r="E27" s="810"/>
      <c r="F27" s="810"/>
      <c r="G27" s="812"/>
      <c r="H27" s="814"/>
      <c r="I27" s="812"/>
      <c r="J27" s="812"/>
      <c r="K27" s="810"/>
      <c r="L27" s="810"/>
      <c r="M27" s="810"/>
      <c r="N27" s="818"/>
      <c r="O27" s="810"/>
      <c r="P27" s="810"/>
      <c r="Q27" s="812"/>
      <c r="R27" s="814"/>
      <c r="S27" s="810"/>
      <c r="T27" s="247">
        <v>45079</v>
      </c>
      <c r="U27" s="810"/>
      <c r="V27" s="244">
        <v>11303.4</v>
      </c>
      <c r="W27" s="247">
        <v>45072</v>
      </c>
      <c r="X27" s="245"/>
      <c r="Y27" s="244"/>
      <c r="Z27" s="244"/>
      <c r="AA27" s="810"/>
      <c r="AB27" s="812"/>
      <c r="AC27" s="816"/>
      <c r="AD27" s="2">
        <v>1</v>
      </c>
    </row>
    <row r="28" spans="1:30" s="2" customFormat="1" x14ac:dyDescent="0.3">
      <c r="A28" s="808"/>
      <c r="B28" s="810"/>
      <c r="C28" s="810"/>
      <c r="D28" s="810"/>
      <c r="E28" s="810"/>
      <c r="F28" s="810"/>
      <c r="G28" s="812"/>
      <c r="H28" s="814"/>
      <c r="I28" s="812"/>
      <c r="J28" s="812"/>
      <c r="K28" s="810"/>
      <c r="L28" s="810"/>
      <c r="M28" s="810"/>
      <c r="N28" s="818"/>
      <c r="O28" s="810"/>
      <c r="P28" s="810"/>
      <c r="Q28" s="812"/>
      <c r="R28" s="814"/>
      <c r="S28" s="810"/>
      <c r="T28" s="247">
        <v>45079</v>
      </c>
      <c r="U28" s="810"/>
      <c r="V28" s="244">
        <v>9248.23</v>
      </c>
      <c r="W28" s="247">
        <v>45072</v>
      </c>
      <c r="X28" s="245"/>
      <c r="Y28" s="244"/>
      <c r="Z28" s="244"/>
      <c r="AA28" s="810"/>
      <c r="AB28" s="812"/>
      <c r="AC28" s="816"/>
      <c r="AD28" s="2">
        <v>1</v>
      </c>
    </row>
    <row r="29" spans="1:30" s="2" customFormat="1" x14ac:dyDescent="0.3">
      <c r="A29" s="808"/>
      <c r="B29" s="810"/>
      <c r="C29" s="810"/>
      <c r="D29" s="810"/>
      <c r="E29" s="810"/>
      <c r="F29" s="810"/>
      <c r="G29" s="812"/>
      <c r="H29" s="814"/>
      <c r="I29" s="812"/>
      <c r="J29" s="812"/>
      <c r="K29" s="810"/>
      <c r="L29" s="810"/>
      <c r="M29" s="810"/>
      <c r="N29" s="818"/>
      <c r="O29" s="810"/>
      <c r="P29" s="810"/>
      <c r="Q29" s="812"/>
      <c r="R29" s="814"/>
      <c r="S29" s="810"/>
      <c r="T29" s="247">
        <v>45079</v>
      </c>
      <c r="U29" s="810"/>
      <c r="V29" s="244">
        <v>64116</v>
      </c>
      <c r="W29" s="247">
        <v>45076</v>
      </c>
      <c r="X29" s="245"/>
      <c r="Y29" s="244"/>
      <c r="Z29" s="244"/>
      <c r="AA29" s="810"/>
      <c r="AB29" s="812"/>
      <c r="AC29" s="816"/>
      <c r="AD29" s="2">
        <v>1</v>
      </c>
    </row>
    <row r="30" spans="1:30" s="2" customFormat="1" x14ac:dyDescent="0.3">
      <c r="A30" s="808"/>
      <c r="B30" s="810"/>
      <c r="C30" s="810"/>
      <c r="D30" s="810"/>
      <c r="E30" s="810"/>
      <c r="F30" s="810"/>
      <c r="G30" s="812"/>
      <c r="H30" s="814"/>
      <c r="I30" s="812"/>
      <c r="J30" s="812"/>
      <c r="K30" s="810"/>
      <c r="L30" s="810"/>
      <c r="M30" s="810"/>
      <c r="N30" s="818"/>
      <c r="O30" s="810"/>
      <c r="P30" s="810"/>
      <c r="Q30" s="812"/>
      <c r="R30" s="814"/>
      <c r="S30" s="810"/>
      <c r="T30" s="247">
        <v>45079</v>
      </c>
      <c r="U30" s="810"/>
      <c r="V30" s="244">
        <v>4092.6</v>
      </c>
      <c r="W30" s="247">
        <v>45076</v>
      </c>
      <c r="X30" s="245"/>
      <c r="Y30" s="244"/>
      <c r="Z30" s="244"/>
      <c r="AA30" s="810"/>
      <c r="AB30" s="812"/>
      <c r="AC30" s="816"/>
      <c r="AD30" s="2">
        <v>1</v>
      </c>
    </row>
    <row r="31" spans="1:30" x14ac:dyDescent="0.3">
      <c r="A31" s="14"/>
      <c r="B31" s="14"/>
      <c r="C31" s="14"/>
      <c r="D31" s="14"/>
      <c r="E31" s="14"/>
      <c r="F31" s="14"/>
      <c r="G31" s="15"/>
      <c r="H31" s="16"/>
      <c r="I31" s="105"/>
      <c r="J31" s="105"/>
      <c r="K31" s="14"/>
      <c r="L31" s="14"/>
      <c r="M31" s="14"/>
      <c r="N31" s="29"/>
      <c r="O31" s="14"/>
      <c r="P31" s="14"/>
      <c r="Q31" s="15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8">
        <v>2</v>
      </c>
    </row>
  </sheetData>
  <sheetProtection password="EB34" sheet="1" objects="1" scenarios="1" formatCells="0" formatColumns="0" formatRows="0"/>
  <mergeCells count="27">
    <mergeCell ref="AB9:AB30"/>
    <mergeCell ref="C9:C30"/>
    <mergeCell ref="AC9:AC30"/>
    <mergeCell ref="D9:D30"/>
    <mergeCell ref="E9:E30"/>
    <mergeCell ref="F9:F30"/>
    <mergeCell ref="G9:G30"/>
    <mergeCell ref="H9:H30"/>
    <mergeCell ref="I9:I30"/>
    <mergeCell ref="J9:J30"/>
    <mergeCell ref="K9:K30"/>
    <mergeCell ref="L9:L30"/>
    <mergeCell ref="M9:M30"/>
    <mergeCell ref="N9:N30"/>
    <mergeCell ref="E2:F2"/>
    <mergeCell ref="O2:P2"/>
    <mergeCell ref="Y2:AA2"/>
    <mergeCell ref="T2:U2"/>
    <mergeCell ref="A9:A30"/>
    <mergeCell ref="U9:U30"/>
    <mergeCell ref="O9:O30"/>
    <mergeCell ref="P9:P30"/>
    <mergeCell ref="Q9:Q30"/>
    <mergeCell ref="R9:R30"/>
    <mergeCell ref="S9:S30"/>
    <mergeCell ref="AA9:AA30"/>
    <mergeCell ref="B9:B30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1">
    <tabColor theme="3" tint="0.39997558519241921"/>
  </sheetPr>
  <dimension ref="A1:AG66"/>
  <sheetViews>
    <sheetView showGridLines="0" topLeftCell="K1" zoomScale="50" zoomScaleNormal="50" workbookViewId="0">
      <pane ySplit="8" topLeftCell="A27" activePane="bottomLeft" state="frozen"/>
      <selection pane="bottomLeft" activeCell="R18" sqref="R18:R57"/>
    </sheetView>
  </sheetViews>
  <sheetFormatPr defaultColWidth="0" defaultRowHeight="18" x14ac:dyDescent="0.3"/>
  <cols>
    <col min="1" max="1" width="9.109375" style="8" customWidth="1"/>
    <col min="2" max="2" width="47.109375" style="8" customWidth="1"/>
    <col min="3" max="3" width="33.33203125" style="8" customWidth="1"/>
    <col min="4" max="6" width="33.6640625" style="8" customWidth="1"/>
    <col min="7" max="8" width="22.33203125" style="8" customWidth="1"/>
    <col min="9" max="9" width="24.33203125" style="8" customWidth="1"/>
    <col min="10" max="10" width="28.44140625" style="8" customWidth="1"/>
    <col min="11" max="12" width="19.5546875" style="8" customWidth="1"/>
    <col min="13" max="13" width="25.6640625" style="8" customWidth="1"/>
    <col min="14" max="14" width="24.44140625" style="8" bestFit="1" customWidth="1"/>
    <col min="15" max="15" width="24.44140625" style="8" customWidth="1"/>
    <col min="16" max="16" width="31.5546875" style="8" customWidth="1"/>
    <col min="17" max="18" width="21.88671875" style="8" customWidth="1"/>
    <col min="19" max="19" width="23.5546875" style="8" customWidth="1"/>
    <col min="20" max="20" width="31.88671875" style="8" customWidth="1"/>
    <col min="21" max="21" width="27.6640625" style="8" customWidth="1"/>
    <col min="22" max="22" width="25.44140625" style="8" customWidth="1"/>
    <col min="23" max="23" width="25" style="8" customWidth="1"/>
    <col min="24" max="26" width="29.44140625" style="8" customWidth="1"/>
    <col min="27" max="27" width="26.33203125" style="8" customWidth="1"/>
    <col min="28" max="28" width="25.109375" style="8" customWidth="1"/>
    <col min="29" max="29" width="19.109375" style="8" customWidth="1"/>
    <col min="30" max="16384" width="9.109375" style="8" hidden="1"/>
  </cols>
  <sheetData>
    <row r="1" spans="1:33" ht="18.600000000000001" thickBot="1" x14ac:dyDescent="0.35"/>
    <row r="2" spans="1:33" ht="39.9" customHeight="1" thickBot="1" x14ac:dyDescent="0.35">
      <c r="E2" s="683" t="s">
        <v>139</v>
      </c>
      <c r="F2" s="684"/>
      <c r="G2" s="100">
        <f>SUM(G9:G10017)</f>
        <v>1786928.62</v>
      </c>
      <c r="H2" s="15"/>
      <c r="O2" s="683" t="s">
        <v>24</v>
      </c>
      <c r="P2" s="684"/>
      <c r="Q2" s="98">
        <f>SUM(Q9:Q10017)</f>
        <v>1727500.78</v>
      </c>
      <c r="T2" s="519" t="s">
        <v>137</v>
      </c>
      <c r="U2" s="521"/>
      <c r="V2" s="87">
        <f>SUM(V9:V10017)</f>
        <v>1264437.6399999999</v>
      </c>
      <c r="X2" s="86"/>
      <c r="Y2" s="519" t="s">
        <v>45</v>
      </c>
      <c r="Z2" s="520"/>
      <c r="AA2" s="521"/>
      <c r="AB2" s="88">
        <f>SUM(AB9:AB10017)</f>
        <v>0</v>
      </c>
    </row>
    <row r="4" spans="1:33" ht="39.9" customHeight="1" x14ac:dyDescent="0.3">
      <c r="P4" s="825"/>
      <c r="Q4" s="825"/>
      <c r="R4" s="825"/>
      <c r="T4" s="102"/>
      <c r="U4" s="102"/>
    </row>
    <row r="6" spans="1:33" ht="126" x14ac:dyDescent="0.3">
      <c r="A6" s="1" t="s">
        <v>8</v>
      </c>
      <c r="B6" s="1" t="s">
        <v>47</v>
      </c>
      <c r="C6" s="1" t="s">
        <v>33</v>
      </c>
      <c r="D6" s="1" t="s">
        <v>10</v>
      </c>
      <c r="E6" s="1" t="s">
        <v>11</v>
      </c>
      <c r="F6" s="1" t="s">
        <v>12</v>
      </c>
      <c r="G6" s="1" t="s">
        <v>13</v>
      </c>
      <c r="H6" s="1" t="s">
        <v>34</v>
      </c>
      <c r="I6" s="1" t="s">
        <v>16</v>
      </c>
      <c r="J6" s="1" t="s">
        <v>17</v>
      </c>
      <c r="K6" s="1" t="s">
        <v>14</v>
      </c>
      <c r="L6" s="1" t="s">
        <v>32</v>
      </c>
      <c r="M6" s="1" t="s">
        <v>15</v>
      </c>
      <c r="N6" s="1" t="s">
        <v>0</v>
      </c>
      <c r="O6" s="1" t="s">
        <v>46</v>
      </c>
      <c r="P6" s="1" t="s">
        <v>5</v>
      </c>
      <c r="Q6" s="1" t="s">
        <v>18</v>
      </c>
      <c r="R6" s="1" t="s">
        <v>22</v>
      </c>
      <c r="S6" s="1" t="s">
        <v>19</v>
      </c>
      <c r="T6" s="1" t="s">
        <v>37</v>
      </c>
      <c r="U6" s="1" t="s">
        <v>20</v>
      </c>
      <c r="V6" s="1" t="s">
        <v>23</v>
      </c>
      <c r="W6" s="1" t="s">
        <v>9</v>
      </c>
      <c r="X6" s="17" t="s">
        <v>40</v>
      </c>
      <c r="Y6" s="17" t="s">
        <v>103</v>
      </c>
      <c r="Z6" s="17" t="s">
        <v>104</v>
      </c>
      <c r="AA6" s="17" t="s">
        <v>41</v>
      </c>
      <c r="AB6" s="1" t="s">
        <v>43</v>
      </c>
      <c r="AC6" s="1" t="s">
        <v>42</v>
      </c>
      <c r="AD6" s="16"/>
      <c r="AE6" s="16"/>
      <c r="AF6" s="16"/>
      <c r="AG6" s="16"/>
    </row>
    <row r="7" spans="1:33" x14ac:dyDescent="0.3">
      <c r="A7" s="94">
        <v>1</v>
      </c>
      <c r="B7" s="94">
        <v>2</v>
      </c>
      <c r="C7" s="94">
        <v>3</v>
      </c>
      <c r="D7" s="94">
        <v>4</v>
      </c>
      <c r="E7" s="94">
        <v>5</v>
      </c>
      <c r="F7" s="94">
        <v>6</v>
      </c>
      <c r="G7" s="94">
        <v>7</v>
      </c>
      <c r="H7" s="94">
        <v>8</v>
      </c>
      <c r="I7" s="94">
        <v>9</v>
      </c>
      <c r="J7" s="94">
        <v>10</v>
      </c>
      <c r="K7" s="94">
        <v>11</v>
      </c>
      <c r="L7" s="94">
        <v>12</v>
      </c>
      <c r="M7" s="94">
        <v>13</v>
      </c>
      <c r="N7" s="94">
        <v>14</v>
      </c>
      <c r="O7" s="94">
        <v>15</v>
      </c>
      <c r="P7" s="94">
        <v>16</v>
      </c>
      <c r="Q7" s="94">
        <v>17</v>
      </c>
      <c r="R7" s="94">
        <v>18</v>
      </c>
      <c r="S7" s="94">
        <v>19</v>
      </c>
      <c r="T7" s="94">
        <v>20</v>
      </c>
      <c r="U7" s="94">
        <v>21</v>
      </c>
      <c r="V7" s="94">
        <v>22</v>
      </c>
      <c r="W7" s="94">
        <v>23</v>
      </c>
      <c r="X7" s="94">
        <v>24</v>
      </c>
      <c r="Y7" s="94">
        <v>25</v>
      </c>
      <c r="Z7" s="94">
        <v>26</v>
      </c>
      <c r="AA7" s="94">
        <v>27</v>
      </c>
      <c r="AB7" s="94">
        <v>28</v>
      </c>
      <c r="AC7" s="94">
        <v>29</v>
      </c>
      <c r="AD7" s="16"/>
      <c r="AE7" s="16"/>
      <c r="AF7" s="16"/>
      <c r="AG7" s="16"/>
    </row>
    <row r="8" spans="1:33" s="2" customFormat="1" ht="162" x14ac:dyDescent="0.3">
      <c r="A8" s="26" t="s">
        <v>36</v>
      </c>
      <c r="B8" s="26"/>
      <c r="C8" s="26" t="s">
        <v>73</v>
      </c>
      <c r="D8" s="26" t="s">
        <v>74</v>
      </c>
      <c r="E8" s="26" t="s">
        <v>71</v>
      </c>
      <c r="F8" s="26" t="s">
        <v>72</v>
      </c>
      <c r="G8" s="24">
        <v>15500.01</v>
      </c>
      <c r="H8" s="24">
        <f t="shared" ref="H8" si="0">G8-Q8</f>
        <v>6725</v>
      </c>
      <c r="I8" s="37">
        <v>6</v>
      </c>
      <c r="J8" s="37">
        <v>0</v>
      </c>
      <c r="K8" s="26" t="s">
        <v>75</v>
      </c>
      <c r="L8" s="26" t="s">
        <v>76</v>
      </c>
      <c r="M8" s="26" t="s">
        <v>77</v>
      </c>
      <c r="N8" s="25">
        <v>43655</v>
      </c>
      <c r="O8" s="25" t="s">
        <v>79</v>
      </c>
      <c r="P8" s="26" t="s">
        <v>78</v>
      </c>
      <c r="Q8" s="24">
        <v>8775.01</v>
      </c>
      <c r="R8" s="24">
        <f>Q8-V8</f>
        <v>0</v>
      </c>
      <c r="S8" s="26" t="s">
        <v>80</v>
      </c>
      <c r="T8" s="25">
        <v>43677</v>
      </c>
      <c r="U8" s="26" t="s">
        <v>81</v>
      </c>
      <c r="V8" s="24">
        <v>8775.01</v>
      </c>
      <c r="W8" s="25">
        <v>43696</v>
      </c>
      <c r="X8" s="26"/>
      <c r="Y8" s="72"/>
      <c r="Z8" s="72"/>
      <c r="AA8" s="26"/>
      <c r="AB8" s="24"/>
      <c r="AC8" s="13" t="s">
        <v>64</v>
      </c>
    </row>
    <row r="9" spans="1:33" s="108" customFormat="1" ht="168.75" customHeight="1" x14ac:dyDescent="0.3">
      <c r="A9" s="485">
        <v>1</v>
      </c>
      <c r="B9" s="467"/>
      <c r="C9" s="467" t="s">
        <v>226</v>
      </c>
      <c r="D9" s="467" t="s">
        <v>147</v>
      </c>
      <c r="E9" s="467" t="s">
        <v>228</v>
      </c>
      <c r="F9" s="467" t="s">
        <v>148</v>
      </c>
      <c r="G9" s="476">
        <v>742848</v>
      </c>
      <c r="H9" s="479">
        <f>IF(AD9 = 1, G9 - Q9,0)</f>
        <v>59427.839999999967</v>
      </c>
      <c r="I9" s="476">
        <v>3</v>
      </c>
      <c r="J9" s="476">
        <v>0</v>
      </c>
      <c r="K9" s="467" t="s">
        <v>179</v>
      </c>
      <c r="L9" s="467"/>
      <c r="M9" s="467" t="s">
        <v>227</v>
      </c>
      <c r="N9" s="473">
        <v>44915</v>
      </c>
      <c r="O9" s="470">
        <v>2304067057</v>
      </c>
      <c r="P9" s="467" t="s">
        <v>177</v>
      </c>
      <c r="Q9" s="476">
        <v>683420.16000000003</v>
      </c>
      <c r="R9" s="479">
        <f>IF(AD9 = 1, Q9 + SUM(Y9:Y17) - SUM(Z9:Z17) - SUM(V9:V17) - AB9,0)</f>
        <v>44469.119999999995</v>
      </c>
      <c r="S9" s="491"/>
      <c r="T9" s="348">
        <v>44957</v>
      </c>
      <c r="U9" s="467" t="s">
        <v>181</v>
      </c>
      <c r="V9" s="339">
        <v>72554.880000000005</v>
      </c>
      <c r="W9" s="348">
        <v>44965</v>
      </c>
      <c r="X9" s="341"/>
      <c r="Y9" s="339"/>
      <c r="Z9" s="339"/>
      <c r="AA9" s="467"/>
      <c r="AB9" s="476"/>
      <c r="AC9" s="491"/>
      <c r="AD9" s="108">
        <v>1</v>
      </c>
    </row>
    <row r="10" spans="1:33" s="2" customFormat="1" x14ac:dyDescent="0.3">
      <c r="A10" s="486"/>
      <c r="B10" s="468"/>
      <c r="C10" s="468"/>
      <c r="D10" s="468"/>
      <c r="E10" s="468"/>
      <c r="F10" s="468"/>
      <c r="G10" s="477"/>
      <c r="H10" s="480"/>
      <c r="I10" s="477"/>
      <c r="J10" s="477"/>
      <c r="K10" s="468"/>
      <c r="L10" s="468"/>
      <c r="M10" s="468"/>
      <c r="N10" s="474"/>
      <c r="O10" s="471"/>
      <c r="P10" s="468"/>
      <c r="Q10" s="477"/>
      <c r="R10" s="480"/>
      <c r="S10" s="492"/>
      <c r="T10" s="349">
        <v>44987</v>
      </c>
      <c r="U10" s="468"/>
      <c r="V10" s="342">
        <v>65533.440000000002</v>
      </c>
      <c r="W10" s="349">
        <v>44995</v>
      </c>
      <c r="X10" s="344"/>
      <c r="Y10" s="342"/>
      <c r="Z10" s="342"/>
      <c r="AA10" s="468"/>
      <c r="AB10" s="477"/>
      <c r="AC10" s="492"/>
      <c r="AD10" s="2">
        <v>1</v>
      </c>
    </row>
    <row r="11" spans="1:33" s="2" customFormat="1" x14ac:dyDescent="0.3">
      <c r="A11" s="486"/>
      <c r="B11" s="468"/>
      <c r="C11" s="468"/>
      <c r="D11" s="468"/>
      <c r="E11" s="468"/>
      <c r="F11" s="468"/>
      <c r="G11" s="477"/>
      <c r="H11" s="480"/>
      <c r="I11" s="477"/>
      <c r="J11" s="477"/>
      <c r="K11" s="468"/>
      <c r="L11" s="468"/>
      <c r="M11" s="468"/>
      <c r="N11" s="474"/>
      <c r="O11" s="471"/>
      <c r="P11" s="468"/>
      <c r="Q11" s="477"/>
      <c r="R11" s="480"/>
      <c r="S11" s="492"/>
      <c r="T11" s="349">
        <v>45020</v>
      </c>
      <c r="U11" s="468"/>
      <c r="V11" s="342">
        <v>72554.880000000005</v>
      </c>
      <c r="W11" s="349">
        <v>45022</v>
      </c>
      <c r="X11" s="344"/>
      <c r="Y11" s="342"/>
      <c r="Z11" s="342"/>
      <c r="AA11" s="468"/>
      <c r="AB11" s="477"/>
      <c r="AC11" s="492"/>
      <c r="AD11" s="2">
        <v>1</v>
      </c>
    </row>
    <row r="12" spans="1:33" s="2" customFormat="1" x14ac:dyDescent="0.3">
      <c r="A12" s="486"/>
      <c r="B12" s="468"/>
      <c r="C12" s="468"/>
      <c r="D12" s="468"/>
      <c r="E12" s="468"/>
      <c r="F12" s="468"/>
      <c r="G12" s="477"/>
      <c r="H12" s="480"/>
      <c r="I12" s="477"/>
      <c r="J12" s="477"/>
      <c r="K12" s="468"/>
      <c r="L12" s="468"/>
      <c r="M12" s="468"/>
      <c r="N12" s="474"/>
      <c r="O12" s="471"/>
      <c r="P12" s="468"/>
      <c r="Q12" s="477"/>
      <c r="R12" s="480"/>
      <c r="S12" s="492"/>
      <c r="T12" s="349">
        <v>45049</v>
      </c>
      <c r="U12" s="468"/>
      <c r="V12" s="342">
        <v>70214.399999999994</v>
      </c>
      <c r="W12" s="349">
        <v>45051</v>
      </c>
      <c r="X12" s="344"/>
      <c r="Y12" s="342"/>
      <c r="Z12" s="342"/>
      <c r="AA12" s="468"/>
      <c r="AB12" s="477"/>
      <c r="AC12" s="492"/>
      <c r="AD12" s="2">
        <v>1</v>
      </c>
    </row>
    <row r="13" spans="1:33" s="2" customFormat="1" x14ac:dyDescent="0.3">
      <c r="A13" s="486"/>
      <c r="B13" s="468"/>
      <c r="C13" s="468"/>
      <c r="D13" s="468"/>
      <c r="E13" s="468"/>
      <c r="F13" s="468"/>
      <c r="G13" s="477"/>
      <c r="H13" s="480"/>
      <c r="I13" s="477"/>
      <c r="J13" s="477"/>
      <c r="K13" s="468"/>
      <c r="L13" s="468"/>
      <c r="M13" s="468"/>
      <c r="N13" s="474"/>
      <c r="O13" s="471"/>
      <c r="P13" s="468"/>
      <c r="Q13" s="477"/>
      <c r="R13" s="480"/>
      <c r="S13" s="492"/>
      <c r="T13" s="349">
        <v>45110</v>
      </c>
      <c r="U13" s="468"/>
      <c r="V13" s="342">
        <v>70214.399999999994</v>
      </c>
      <c r="W13" s="349">
        <v>45113</v>
      </c>
      <c r="X13" s="344"/>
      <c r="Y13" s="342"/>
      <c r="Z13" s="342"/>
      <c r="AA13" s="468"/>
      <c r="AB13" s="477"/>
      <c r="AC13" s="492"/>
      <c r="AD13" s="2">
        <v>1</v>
      </c>
    </row>
    <row r="14" spans="1:33" s="2" customFormat="1" x14ac:dyDescent="0.3">
      <c r="A14" s="486"/>
      <c r="B14" s="468"/>
      <c r="C14" s="468"/>
      <c r="D14" s="468"/>
      <c r="E14" s="468"/>
      <c r="F14" s="468"/>
      <c r="G14" s="477"/>
      <c r="H14" s="480"/>
      <c r="I14" s="477"/>
      <c r="J14" s="477"/>
      <c r="K14" s="468"/>
      <c r="L14" s="468"/>
      <c r="M14" s="468"/>
      <c r="N14" s="474"/>
      <c r="O14" s="471"/>
      <c r="P14" s="468"/>
      <c r="Q14" s="477"/>
      <c r="R14" s="480"/>
      <c r="S14" s="492"/>
      <c r="T14" s="349">
        <v>45082</v>
      </c>
      <c r="U14" s="468"/>
      <c r="V14" s="342">
        <v>72554.880000000005</v>
      </c>
      <c r="W14" s="349">
        <v>45082</v>
      </c>
      <c r="X14" s="344"/>
      <c r="Y14" s="342"/>
      <c r="Z14" s="342"/>
      <c r="AA14" s="468"/>
      <c r="AB14" s="477"/>
      <c r="AC14" s="492"/>
      <c r="AD14" s="2">
        <v>1</v>
      </c>
    </row>
    <row r="15" spans="1:33" s="2" customFormat="1" x14ac:dyDescent="0.3">
      <c r="A15" s="486"/>
      <c r="B15" s="468"/>
      <c r="C15" s="468"/>
      <c r="D15" s="468"/>
      <c r="E15" s="468"/>
      <c r="F15" s="468"/>
      <c r="G15" s="477"/>
      <c r="H15" s="480"/>
      <c r="I15" s="477"/>
      <c r="J15" s="477"/>
      <c r="K15" s="468"/>
      <c r="L15" s="468"/>
      <c r="M15" s="468"/>
      <c r="N15" s="474"/>
      <c r="O15" s="471"/>
      <c r="P15" s="468"/>
      <c r="Q15" s="477"/>
      <c r="R15" s="480"/>
      <c r="S15" s="492"/>
      <c r="T15" s="349">
        <v>45140</v>
      </c>
      <c r="U15" s="468"/>
      <c r="V15" s="342">
        <v>72554.880000000005</v>
      </c>
      <c r="W15" s="349">
        <v>45145</v>
      </c>
      <c r="X15" s="344"/>
      <c r="Y15" s="342"/>
      <c r="Z15" s="342"/>
      <c r="AA15" s="468"/>
      <c r="AB15" s="477"/>
      <c r="AC15" s="492"/>
      <c r="AD15" s="2">
        <v>1</v>
      </c>
    </row>
    <row r="16" spans="1:33" s="2" customFormat="1" x14ac:dyDescent="0.3">
      <c r="A16" s="486"/>
      <c r="B16" s="468"/>
      <c r="C16" s="468"/>
      <c r="D16" s="468"/>
      <c r="E16" s="468"/>
      <c r="F16" s="468"/>
      <c r="G16" s="477"/>
      <c r="H16" s="480"/>
      <c r="I16" s="477"/>
      <c r="J16" s="477"/>
      <c r="K16" s="468"/>
      <c r="L16" s="468"/>
      <c r="M16" s="468"/>
      <c r="N16" s="474"/>
      <c r="O16" s="471"/>
      <c r="P16" s="468"/>
      <c r="Q16" s="477"/>
      <c r="R16" s="480"/>
      <c r="S16" s="492"/>
      <c r="T16" s="349">
        <v>45172</v>
      </c>
      <c r="U16" s="468"/>
      <c r="V16" s="342">
        <v>72554.880000000005</v>
      </c>
      <c r="W16" s="349">
        <v>45176</v>
      </c>
      <c r="X16" s="344"/>
      <c r="Y16" s="342"/>
      <c r="Z16" s="342"/>
      <c r="AA16" s="468"/>
      <c r="AB16" s="477"/>
      <c r="AC16" s="492"/>
      <c r="AD16" s="2">
        <v>1</v>
      </c>
    </row>
    <row r="17" spans="1:30" s="2" customFormat="1" x14ac:dyDescent="0.3">
      <c r="A17" s="487"/>
      <c r="B17" s="469"/>
      <c r="C17" s="469"/>
      <c r="D17" s="469"/>
      <c r="E17" s="469"/>
      <c r="F17" s="469"/>
      <c r="G17" s="478"/>
      <c r="H17" s="481"/>
      <c r="I17" s="478"/>
      <c r="J17" s="478"/>
      <c r="K17" s="469"/>
      <c r="L17" s="469"/>
      <c r="M17" s="469"/>
      <c r="N17" s="475"/>
      <c r="O17" s="472"/>
      <c r="P17" s="469"/>
      <c r="Q17" s="478"/>
      <c r="R17" s="481"/>
      <c r="S17" s="493"/>
      <c r="T17" s="350">
        <v>45202</v>
      </c>
      <c r="U17" s="469"/>
      <c r="V17" s="345">
        <v>70214.399999999994</v>
      </c>
      <c r="W17" s="350">
        <v>45204</v>
      </c>
      <c r="X17" s="347"/>
      <c r="Y17" s="345"/>
      <c r="Z17" s="345"/>
      <c r="AA17" s="469"/>
      <c r="AB17" s="478"/>
      <c r="AC17" s="493"/>
      <c r="AD17" s="2">
        <v>1</v>
      </c>
    </row>
    <row r="18" spans="1:30" s="108" customFormat="1" ht="168.75" customHeight="1" x14ac:dyDescent="0.3">
      <c r="A18" s="801">
        <v>2</v>
      </c>
      <c r="B18" s="786"/>
      <c r="C18" s="786" t="s">
        <v>373</v>
      </c>
      <c r="D18" s="786" t="s">
        <v>147</v>
      </c>
      <c r="E18" s="786" t="s">
        <v>374</v>
      </c>
      <c r="F18" s="786" t="s">
        <v>375</v>
      </c>
      <c r="G18" s="789">
        <v>1044080.62</v>
      </c>
      <c r="H18" s="783">
        <f>IF(AD18 = 2, G18 - Q18,0)</f>
        <v>0</v>
      </c>
      <c r="I18" s="789">
        <v>1</v>
      </c>
      <c r="J18" s="789"/>
      <c r="K18" s="786" t="s">
        <v>179</v>
      </c>
      <c r="L18" s="786" t="s">
        <v>376</v>
      </c>
      <c r="M18" s="786" t="s">
        <v>374</v>
      </c>
      <c r="N18" s="798">
        <v>45168</v>
      </c>
      <c r="O18" s="822">
        <v>2353020735</v>
      </c>
      <c r="P18" s="786" t="s">
        <v>282</v>
      </c>
      <c r="Q18" s="789">
        <v>1044080.62</v>
      </c>
      <c r="R18" s="783">
        <f>IF(AD18 = 2, Q18 + SUM(Y18:Y57) - SUM(Z18:Z57) - SUM(V18:V57) - AB18,0)</f>
        <v>418594.0199999999</v>
      </c>
      <c r="S18" s="795" t="s">
        <v>377</v>
      </c>
      <c r="T18" s="384">
        <v>45187</v>
      </c>
      <c r="U18" s="786" t="s">
        <v>181</v>
      </c>
      <c r="V18" s="378">
        <v>32746.59</v>
      </c>
      <c r="W18" s="384">
        <v>45191</v>
      </c>
      <c r="X18" s="379"/>
      <c r="Y18" s="378"/>
      <c r="Z18" s="378"/>
      <c r="AA18" s="786"/>
      <c r="AB18" s="789"/>
      <c r="AC18" s="819"/>
      <c r="AD18" s="108">
        <v>2</v>
      </c>
    </row>
    <row r="19" spans="1:30" s="2" customFormat="1" x14ac:dyDescent="0.3">
      <c r="A19" s="802"/>
      <c r="B19" s="787"/>
      <c r="C19" s="787"/>
      <c r="D19" s="787"/>
      <c r="E19" s="787"/>
      <c r="F19" s="787"/>
      <c r="G19" s="790"/>
      <c r="H19" s="784"/>
      <c r="I19" s="790"/>
      <c r="J19" s="790"/>
      <c r="K19" s="787"/>
      <c r="L19" s="787"/>
      <c r="M19" s="787"/>
      <c r="N19" s="799"/>
      <c r="O19" s="823"/>
      <c r="P19" s="787"/>
      <c r="Q19" s="790"/>
      <c r="R19" s="784"/>
      <c r="S19" s="796"/>
      <c r="T19" s="385">
        <v>45187</v>
      </c>
      <c r="U19" s="787"/>
      <c r="V19" s="380">
        <v>93493.22</v>
      </c>
      <c r="W19" s="385">
        <v>45191</v>
      </c>
      <c r="X19" s="381"/>
      <c r="Y19" s="380"/>
      <c r="Z19" s="380"/>
      <c r="AA19" s="787"/>
      <c r="AB19" s="790"/>
      <c r="AC19" s="820"/>
      <c r="AD19" s="2">
        <v>2</v>
      </c>
    </row>
    <row r="20" spans="1:30" s="2" customFormat="1" x14ac:dyDescent="0.3">
      <c r="A20" s="802"/>
      <c r="B20" s="787"/>
      <c r="C20" s="787"/>
      <c r="D20" s="787"/>
      <c r="E20" s="787"/>
      <c r="F20" s="787"/>
      <c r="G20" s="790"/>
      <c r="H20" s="784"/>
      <c r="I20" s="790"/>
      <c r="J20" s="790"/>
      <c r="K20" s="787"/>
      <c r="L20" s="787"/>
      <c r="M20" s="787"/>
      <c r="N20" s="799"/>
      <c r="O20" s="823"/>
      <c r="P20" s="787"/>
      <c r="Q20" s="790"/>
      <c r="R20" s="784"/>
      <c r="S20" s="796"/>
      <c r="T20" s="385">
        <v>45187</v>
      </c>
      <c r="U20" s="787"/>
      <c r="V20" s="380">
        <v>5967.78</v>
      </c>
      <c r="W20" s="385">
        <v>45191</v>
      </c>
      <c r="X20" s="381"/>
      <c r="Y20" s="380"/>
      <c r="Z20" s="380"/>
      <c r="AA20" s="787"/>
      <c r="AB20" s="790"/>
      <c r="AC20" s="820"/>
      <c r="AD20" s="2">
        <v>2</v>
      </c>
    </row>
    <row r="21" spans="1:30" s="2" customFormat="1" x14ac:dyDescent="0.3">
      <c r="A21" s="802"/>
      <c r="B21" s="787"/>
      <c r="C21" s="787"/>
      <c r="D21" s="787"/>
      <c r="E21" s="787"/>
      <c r="F21" s="787"/>
      <c r="G21" s="790"/>
      <c r="H21" s="784"/>
      <c r="I21" s="790"/>
      <c r="J21" s="790"/>
      <c r="K21" s="787"/>
      <c r="L21" s="787"/>
      <c r="M21" s="787"/>
      <c r="N21" s="799"/>
      <c r="O21" s="823"/>
      <c r="P21" s="787"/>
      <c r="Q21" s="790"/>
      <c r="R21" s="784"/>
      <c r="S21" s="796"/>
      <c r="T21" s="385">
        <v>45208</v>
      </c>
      <c r="U21" s="787"/>
      <c r="V21" s="380">
        <v>520.20000000000005</v>
      </c>
      <c r="W21" s="385">
        <v>45209</v>
      </c>
      <c r="X21" s="381"/>
      <c r="Y21" s="380"/>
      <c r="Z21" s="380"/>
      <c r="AA21" s="787"/>
      <c r="AB21" s="790"/>
      <c r="AC21" s="820"/>
      <c r="AD21" s="2">
        <v>2</v>
      </c>
    </row>
    <row r="22" spans="1:30" s="2" customFormat="1" x14ac:dyDescent="0.3">
      <c r="A22" s="802"/>
      <c r="B22" s="787"/>
      <c r="C22" s="787"/>
      <c r="D22" s="787"/>
      <c r="E22" s="787"/>
      <c r="F22" s="787"/>
      <c r="G22" s="790"/>
      <c r="H22" s="784"/>
      <c r="I22" s="790"/>
      <c r="J22" s="790"/>
      <c r="K22" s="787"/>
      <c r="L22" s="787"/>
      <c r="M22" s="787"/>
      <c r="N22" s="799"/>
      <c r="O22" s="823"/>
      <c r="P22" s="787"/>
      <c r="Q22" s="790"/>
      <c r="R22" s="784"/>
      <c r="S22" s="796"/>
      <c r="T22" s="385">
        <v>45205</v>
      </c>
      <c r="U22" s="787"/>
      <c r="V22" s="380">
        <v>1664.64</v>
      </c>
      <c r="W22" s="385">
        <v>45209</v>
      </c>
      <c r="X22" s="381"/>
      <c r="Y22" s="380"/>
      <c r="Z22" s="380"/>
      <c r="AA22" s="787"/>
      <c r="AB22" s="790"/>
      <c r="AC22" s="820"/>
      <c r="AD22" s="2">
        <v>2</v>
      </c>
    </row>
    <row r="23" spans="1:30" s="2" customFormat="1" x14ac:dyDescent="0.3">
      <c r="A23" s="802"/>
      <c r="B23" s="787"/>
      <c r="C23" s="787"/>
      <c r="D23" s="787"/>
      <c r="E23" s="787"/>
      <c r="F23" s="787"/>
      <c r="G23" s="790"/>
      <c r="H23" s="784"/>
      <c r="I23" s="790"/>
      <c r="J23" s="790"/>
      <c r="K23" s="787"/>
      <c r="L23" s="787"/>
      <c r="M23" s="787"/>
      <c r="N23" s="799"/>
      <c r="O23" s="823"/>
      <c r="P23" s="787"/>
      <c r="Q23" s="790"/>
      <c r="R23" s="784"/>
      <c r="S23" s="796"/>
      <c r="T23" s="385">
        <v>45203</v>
      </c>
      <c r="U23" s="787"/>
      <c r="V23" s="380">
        <v>29807.46</v>
      </c>
      <c r="W23" s="385">
        <v>45209</v>
      </c>
      <c r="X23" s="381"/>
      <c r="Y23" s="380"/>
      <c r="Z23" s="380"/>
      <c r="AA23" s="787"/>
      <c r="AB23" s="790"/>
      <c r="AC23" s="820"/>
      <c r="AD23" s="2">
        <v>2</v>
      </c>
    </row>
    <row r="24" spans="1:30" s="2" customFormat="1" x14ac:dyDescent="0.3">
      <c r="A24" s="802"/>
      <c r="B24" s="787"/>
      <c r="C24" s="787"/>
      <c r="D24" s="787"/>
      <c r="E24" s="787"/>
      <c r="F24" s="787"/>
      <c r="G24" s="790"/>
      <c r="H24" s="784"/>
      <c r="I24" s="790"/>
      <c r="J24" s="790"/>
      <c r="K24" s="787"/>
      <c r="L24" s="787"/>
      <c r="M24" s="787"/>
      <c r="N24" s="799"/>
      <c r="O24" s="823"/>
      <c r="P24" s="787"/>
      <c r="Q24" s="790"/>
      <c r="R24" s="784"/>
      <c r="S24" s="796"/>
      <c r="T24" s="385">
        <v>45203</v>
      </c>
      <c r="U24" s="787"/>
      <c r="V24" s="380">
        <v>85101.85</v>
      </c>
      <c r="W24" s="385">
        <v>45210</v>
      </c>
      <c r="X24" s="381"/>
      <c r="Y24" s="380"/>
      <c r="Z24" s="380"/>
      <c r="AA24" s="787"/>
      <c r="AB24" s="790"/>
      <c r="AC24" s="820"/>
      <c r="AD24" s="2">
        <v>2</v>
      </c>
    </row>
    <row r="25" spans="1:30" s="2" customFormat="1" x14ac:dyDescent="0.3">
      <c r="A25" s="802"/>
      <c r="B25" s="787"/>
      <c r="C25" s="787"/>
      <c r="D25" s="787"/>
      <c r="E25" s="787"/>
      <c r="F25" s="787"/>
      <c r="G25" s="790"/>
      <c r="H25" s="784"/>
      <c r="I25" s="790"/>
      <c r="J25" s="790"/>
      <c r="K25" s="787"/>
      <c r="L25" s="787"/>
      <c r="M25" s="787"/>
      <c r="N25" s="799"/>
      <c r="O25" s="823"/>
      <c r="P25" s="787"/>
      <c r="Q25" s="790"/>
      <c r="R25" s="784"/>
      <c r="S25" s="796"/>
      <c r="T25" s="385">
        <v>45203</v>
      </c>
      <c r="U25" s="787"/>
      <c r="V25" s="380">
        <v>5432.15</v>
      </c>
      <c r="W25" s="385">
        <v>45210</v>
      </c>
      <c r="X25" s="381"/>
      <c r="Y25" s="380"/>
      <c r="Z25" s="380"/>
      <c r="AA25" s="787"/>
      <c r="AB25" s="790"/>
      <c r="AC25" s="820"/>
      <c r="AD25" s="2">
        <v>2</v>
      </c>
    </row>
    <row r="26" spans="1:30" s="2" customFormat="1" x14ac:dyDescent="0.3">
      <c r="A26" s="802"/>
      <c r="B26" s="787"/>
      <c r="C26" s="787"/>
      <c r="D26" s="787"/>
      <c r="E26" s="787"/>
      <c r="F26" s="787"/>
      <c r="G26" s="790"/>
      <c r="H26" s="784"/>
      <c r="I26" s="790"/>
      <c r="J26" s="790"/>
      <c r="K26" s="787"/>
      <c r="L26" s="787"/>
      <c r="M26" s="787"/>
      <c r="N26" s="799"/>
      <c r="O26" s="823"/>
      <c r="P26" s="787"/>
      <c r="Q26" s="790"/>
      <c r="R26" s="784"/>
      <c r="S26" s="796"/>
      <c r="T26" s="385">
        <v>45208</v>
      </c>
      <c r="U26" s="787"/>
      <c r="V26" s="380">
        <v>1934.89</v>
      </c>
      <c r="W26" s="385">
        <v>45211</v>
      </c>
      <c r="X26" s="381"/>
      <c r="Y26" s="380"/>
      <c r="Z26" s="380"/>
      <c r="AA26" s="787"/>
      <c r="AB26" s="790"/>
      <c r="AC26" s="820"/>
      <c r="AD26" s="2">
        <v>2</v>
      </c>
    </row>
    <row r="27" spans="1:30" s="2" customFormat="1" x14ac:dyDescent="0.3">
      <c r="A27" s="802"/>
      <c r="B27" s="787"/>
      <c r="C27" s="787"/>
      <c r="D27" s="787"/>
      <c r="E27" s="787"/>
      <c r="F27" s="787"/>
      <c r="G27" s="790"/>
      <c r="H27" s="784"/>
      <c r="I27" s="790"/>
      <c r="J27" s="790"/>
      <c r="K27" s="787"/>
      <c r="L27" s="787"/>
      <c r="M27" s="787"/>
      <c r="N27" s="799"/>
      <c r="O27" s="823"/>
      <c r="P27" s="787"/>
      <c r="Q27" s="790"/>
      <c r="R27" s="784"/>
      <c r="S27" s="796"/>
      <c r="T27" s="385">
        <v>45208</v>
      </c>
      <c r="U27" s="787"/>
      <c r="V27" s="380">
        <v>123.51</v>
      </c>
      <c r="W27" s="385">
        <v>45211</v>
      </c>
      <c r="X27" s="381"/>
      <c r="Y27" s="380"/>
      <c r="Z27" s="380"/>
      <c r="AA27" s="787"/>
      <c r="AB27" s="790"/>
      <c r="AC27" s="820"/>
      <c r="AD27" s="2">
        <v>2</v>
      </c>
    </row>
    <row r="28" spans="1:30" s="2" customFormat="1" x14ac:dyDescent="0.3">
      <c r="A28" s="802"/>
      <c r="B28" s="787"/>
      <c r="C28" s="787"/>
      <c r="D28" s="787"/>
      <c r="E28" s="787"/>
      <c r="F28" s="787"/>
      <c r="G28" s="790"/>
      <c r="H28" s="784"/>
      <c r="I28" s="790"/>
      <c r="J28" s="790"/>
      <c r="K28" s="787"/>
      <c r="L28" s="787"/>
      <c r="M28" s="787"/>
      <c r="N28" s="799"/>
      <c r="O28" s="823"/>
      <c r="P28" s="787"/>
      <c r="Q28" s="790"/>
      <c r="R28" s="784"/>
      <c r="S28" s="796"/>
      <c r="T28" s="385">
        <v>45205</v>
      </c>
      <c r="U28" s="787"/>
      <c r="V28" s="380">
        <v>5518.08</v>
      </c>
      <c r="W28" s="385">
        <v>45212</v>
      </c>
      <c r="X28" s="381"/>
      <c r="Y28" s="380"/>
      <c r="Z28" s="380"/>
      <c r="AA28" s="787"/>
      <c r="AB28" s="790"/>
      <c r="AC28" s="820"/>
      <c r="AD28" s="2">
        <v>2</v>
      </c>
    </row>
    <row r="29" spans="1:30" s="2" customFormat="1" x14ac:dyDescent="0.3">
      <c r="A29" s="802"/>
      <c r="B29" s="787"/>
      <c r="C29" s="787"/>
      <c r="D29" s="787"/>
      <c r="E29" s="787"/>
      <c r="F29" s="787"/>
      <c r="G29" s="790"/>
      <c r="H29" s="784"/>
      <c r="I29" s="790"/>
      <c r="J29" s="790"/>
      <c r="K29" s="787"/>
      <c r="L29" s="787"/>
      <c r="M29" s="787"/>
      <c r="N29" s="799"/>
      <c r="O29" s="823"/>
      <c r="P29" s="787"/>
      <c r="Q29" s="790"/>
      <c r="R29" s="784"/>
      <c r="S29" s="796"/>
      <c r="T29" s="385">
        <v>45210</v>
      </c>
      <c r="U29" s="787"/>
      <c r="V29" s="380">
        <v>546.21</v>
      </c>
      <c r="W29" s="385">
        <v>45216</v>
      </c>
      <c r="X29" s="381"/>
      <c r="Y29" s="380"/>
      <c r="Z29" s="380"/>
      <c r="AA29" s="787"/>
      <c r="AB29" s="790"/>
      <c r="AC29" s="820"/>
      <c r="AD29" s="2">
        <v>2</v>
      </c>
    </row>
    <row r="30" spans="1:30" s="2" customFormat="1" x14ac:dyDescent="0.3">
      <c r="A30" s="802"/>
      <c r="B30" s="787"/>
      <c r="C30" s="787"/>
      <c r="D30" s="787"/>
      <c r="E30" s="787"/>
      <c r="F30" s="787"/>
      <c r="G30" s="790"/>
      <c r="H30" s="784"/>
      <c r="I30" s="790"/>
      <c r="J30" s="790"/>
      <c r="K30" s="787"/>
      <c r="L30" s="787"/>
      <c r="M30" s="787"/>
      <c r="N30" s="799"/>
      <c r="O30" s="823"/>
      <c r="P30" s="787"/>
      <c r="Q30" s="790"/>
      <c r="R30" s="784"/>
      <c r="S30" s="796"/>
      <c r="T30" s="385">
        <v>45209</v>
      </c>
      <c r="U30" s="787"/>
      <c r="V30" s="380">
        <v>9987.84</v>
      </c>
      <c r="W30" s="385">
        <v>45216</v>
      </c>
      <c r="X30" s="381"/>
      <c r="Y30" s="380"/>
      <c r="Z30" s="380"/>
      <c r="AA30" s="787"/>
      <c r="AB30" s="790"/>
      <c r="AC30" s="820"/>
      <c r="AD30" s="2">
        <v>2</v>
      </c>
    </row>
    <row r="31" spans="1:30" s="2" customFormat="1" x14ac:dyDescent="0.3">
      <c r="A31" s="802"/>
      <c r="B31" s="787"/>
      <c r="C31" s="787"/>
      <c r="D31" s="787"/>
      <c r="E31" s="787"/>
      <c r="F31" s="787"/>
      <c r="G31" s="790"/>
      <c r="H31" s="784"/>
      <c r="I31" s="790"/>
      <c r="J31" s="790"/>
      <c r="K31" s="787"/>
      <c r="L31" s="787"/>
      <c r="M31" s="787"/>
      <c r="N31" s="799"/>
      <c r="O31" s="823"/>
      <c r="P31" s="787"/>
      <c r="Q31" s="790"/>
      <c r="R31" s="784"/>
      <c r="S31" s="796"/>
      <c r="T31" s="385">
        <v>45210</v>
      </c>
      <c r="U31" s="787"/>
      <c r="V31" s="380">
        <v>1092.42</v>
      </c>
      <c r="W31" s="385">
        <v>45216</v>
      </c>
      <c r="X31" s="381"/>
      <c r="Y31" s="380"/>
      <c r="Z31" s="380"/>
      <c r="AA31" s="787"/>
      <c r="AB31" s="790"/>
      <c r="AC31" s="820"/>
      <c r="AD31" s="2">
        <v>2</v>
      </c>
    </row>
    <row r="32" spans="1:30" s="2" customFormat="1" x14ac:dyDescent="0.3">
      <c r="A32" s="802"/>
      <c r="B32" s="787"/>
      <c r="C32" s="787"/>
      <c r="D32" s="787"/>
      <c r="E32" s="787"/>
      <c r="F32" s="787"/>
      <c r="G32" s="790"/>
      <c r="H32" s="784"/>
      <c r="I32" s="790"/>
      <c r="J32" s="790"/>
      <c r="K32" s="787"/>
      <c r="L32" s="787"/>
      <c r="M32" s="787"/>
      <c r="N32" s="799"/>
      <c r="O32" s="823"/>
      <c r="P32" s="787"/>
      <c r="Q32" s="790"/>
      <c r="R32" s="784"/>
      <c r="S32" s="796"/>
      <c r="T32" s="385" t="s">
        <v>410</v>
      </c>
      <c r="U32" s="787"/>
      <c r="V32" s="380">
        <v>2031.64</v>
      </c>
      <c r="W32" s="385">
        <v>45216</v>
      </c>
      <c r="X32" s="381"/>
      <c r="Y32" s="380"/>
      <c r="Z32" s="380"/>
      <c r="AA32" s="787"/>
      <c r="AB32" s="790"/>
      <c r="AC32" s="820"/>
      <c r="AD32" s="2">
        <v>2</v>
      </c>
    </row>
    <row r="33" spans="1:30" s="2" customFormat="1" x14ac:dyDescent="0.3">
      <c r="A33" s="802"/>
      <c r="B33" s="787"/>
      <c r="C33" s="787"/>
      <c r="D33" s="787"/>
      <c r="E33" s="787"/>
      <c r="F33" s="787"/>
      <c r="G33" s="790"/>
      <c r="H33" s="784"/>
      <c r="I33" s="790"/>
      <c r="J33" s="790"/>
      <c r="K33" s="787"/>
      <c r="L33" s="787"/>
      <c r="M33" s="787"/>
      <c r="N33" s="799"/>
      <c r="O33" s="823"/>
      <c r="P33" s="787"/>
      <c r="Q33" s="790"/>
      <c r="R33" s="784"/>
      <c r="S33" s="796"/>
      <c r="T33" s="385">
        <v>45210</v>
      </c>
      <c r="U33" s="787"/>
      <c r="V33" s="380">
        <v>129.68</v>
      </c>
      <c r="W33" s="385">
        <v>45216</v>
      </c>
      <c r="X33" s="381"/>
      <c r="Y33" s="380"/>
      <c r="Z33" s="380"/>
      <c r="AA33" s="787"/>
      <c r="AB33" s="790"/>
      <c r="AC33" s="820"/>
      <c r="AD33" s="2">
        <v>2</v>
      </c>
    </row>
    <row r="34" spans="1:30" s="2" customFormat="1" x14ac:dyDescent="0.3">
      <c r="A34" s="802"/>
      <c r="B34" s="787"/>
      <c r="C34" s="787"/>
      <c r="D34" s="787"/>
      <c r="E34" s="787"/>
      <c r="F34" s="787"/>
      <c r="G34" s="790"/>
      <c r="H34" s="784"/>
      <c r="I34" s="790"/>
      <c r="J34" s="790"/>
      <c r="K34" s="787"/>
      <c r="L34" s="787"/>
      <c r="M34" s="787"/>
      <c r="N34" s="799"/>
      <c r="O34" s="823"/>
      <c r="P34" s="787"/>
      <c r="Q34" s="790"/>
      <c r="R34" s="784"/>
      <c r="S34" s="796"/>
      <c r="T34" s="385">
        <v>45209</v>
      </c>
      <c r="U34" s="787"/>
      <c r="V34" s="380">
        <v>20771.52</v>
      </c>
      <c r="W34" s="385">
        <v>45216</v>
      </c>
      <c r="X34" s="381"/>
      <c r="Y34" s="380"/>
      <c r="Z34" s="380"/>
      <c r="AA34" s="787"/>
      <c r="AB34" s="790"/>
      <c r="AC34" s="820"/>
      <c r="AD34" s="2">
        <v>2</v>
      </c>
    </row>
    <row r="35" spans="1:30" s="2" customFormat="1" x14ac:dyDescent="0.3">
      <c r="A35" s="802"/>
      <c r="B35" s="787"/>
      <c r="C35" s="787"/>
      <c r="D35" s="787"/>
      <c r="E35" s="787"/>
      <c r="F35" s="787"/>
      <c r="G35" s="790"/>
      <c r="H35" s="784"/>
      <c r="I35" s="790"/>
      <c r="J35" s="790"/>
      <c r="K35" s="787"/>
      <c r="L35" s="787"/>
      <c r="M35" s="787"/>
      <c r="N35" s="799"/>
      <c r="O35" s="823"/>
      <c r="P35" s="787"/>
      <c r="Q35" s="790"/>
      <c r="R35" s="784"/>
      <c r="S35" s="796"/>
      <c r="T35" s="385">
        <v>45209</v>
      </c>
      <c r="U35" s="787"/>
      <c r="V35" s="380">
        <v>16994.88</v>
      </c>
      <c r="W35" s="385">
        <v>45216</v>
      </c>
      <c r="X35" s="381"/>
      <c r="Y35" s="380"/>
      <c r="Z35" s="380"/>
      <c r="AA35" s="787"/>
      <c r="AB35" s="790"/>
      <c r="AC35" s="820"/>
      <c r="AD35" s="2">
        <v>2</v>
      </c>
    </row>
    <row r="36" spans="1:30" s="2" customFormat="1" x14ac:dyDescent="0.3">
      <c r="A36" s="802"/>
      <c r="B36" s="787"/>
      <c r="C36" s="787"/>
      <c r="D36" s="787"/>
      <c r="E36" s="787"/>
      <c r="F36" s="787"/>
      <c r="G36" s="790"/>
      <c r="H36" s="784"/>
      <c r="I36" s="790"/>
      <c r="J36" s="790"/>
      <c r="K36" s="787"/>
      <c r="L36" s="787"/>
      <c r="M36" s="787"/>
      <c r="N36" s="799"/>
      <c r="O36" s="823"/>
      <c r="P36" s="787"/>
      <c r="Q36" s="790"/>
      <c r="R36" s="784"/>
      <c r="S36" s="796"/>
      <c r="T36" s="385">
        <v>45209</v>
      </c>
      <c r="U36" s="787"/>
      <c r="V36" s="380">
        <v>4130.7</v>
      </c>
      <c r="W36" s="385">
        <v>45216</v>
      </c>
      <c r="X36" s="381"/>
      <c r="Y36" s="380"/>
      <c r="Z36" s="380"/>
      <c r="AA36" s="787"/>
      <c r="AB36" s="790"/>
      <c r="AC36" s="820"/>
      <c r="AD36" s="2">
        <v>2</v>
      </c>
    </row>
    <row r="37" spans="1:30" s="2" customFormat="1" x14ac:dyDescent="0.3">
      <c r="A37" s="802"/>
      <c r="B37" s="787"/>
      <c r="C37" s="787"/>
      <c r="D37" s="787"/>
      <c r="E37" s="787"/>
      <c r="F37" s="787"/>
      <c r="G37" s="790"/>
      <c r="H37" s="784"/>
      <c r="I37" s="790"/>
      <c r="J37" s="790"/>
      <c r="K37" s="787"/>
      <c r="L37" s="787"/>
      <c r="M37" s="787"/>
      <c r="N37" s="799"/>
      <c r="O37" s="823"/>
      <c r="P37" s="787"/>
      <c r="Q37" s="790"/>
      <c r="R37" s="784"/>
      <c r="S37" s="796"/>
      <c r="T37" s="385">
        <v>45216</v>
      </c>
      <c r="U37" s="787"/>
      <c r="V37" s="380">
        <v>29573.37</v>
      </c>
      <c r="W37" s="385">
        <v>45231</v>
      </c>
      <c r="X37" s="381"/>
      <c r="Y37" s="380"/>
      <c r="Z37" s="380"/>
      <c r="AA37" s="787"/>
      <c r="AB37" s="790"/>
      <c r="AC37" s="820"/>
      <c r="AD37" s="2">
        <v>2</v>
      </c>
    </row>
    <row r="38" spans="1:30" s="2" customFormat="1" x14ac:dyDescent="0.3">
      <c r="A38" s="802"/>
      <c r="B38" s="787"/>
      <c r="C38" s="787"/>
      <c r="D38" s="787"/>
      <c r="E38" s="787"/>
      <c r="F38" s="787"/>
      <c r="G38" s="790"/>
      <c r="H38" s="784"/>
      <c r="I38" s="790"/>
      <c r="J38" s="790"/>
      <c r="K38" s="787"/>
      <c r="L38" s="787"/>
      <c r="M38" s="787"/>
      <c r="N38" s="799"/>
      <c r="O38" s="823"/>
      <c r="P38" s="787"/>
      <c r="Q38" s="790"/>
      <c r="R38" s="784"/>
      <c r="S38" s="796"/>
      <c r="T38" s="385">
        <v>45216</v>
      </c>
      <c r="U38" s="787"/>
      <c r="V38" s="380">
        <v>84433.51</v>
      </c>
      <c r="W38" s="385">
        <v>45231</v>
      </c>
      <c r="X38" s="381"/>
      <c r="Y38" s="380"/>
      <c r="Z38" s="380"/>
      <c r="AA38" s="787"/>
      <c r="AB38" s="790"/>
      <c r="AC38" s="820"/>
      <c r="AD38" s="2">
        <v>2</v>
      </c>
    </row>
    <row r="39" spans="1:30" s="2" customFormat="1" x14ac:dyDescent="0.3">
      <c r="A39" s="802"/>
      <c r="B39" s="787"/>
      <c r="C39" s="787"/>
      <c r="D39" s="787"/>
      <c r="E39" s="787"/>
      <c r="F39" s="787"/>
      <c r="G39" s="790"/>
      <c r="H39" s="784"/>
      <c r="I39" s="790"/>
      <c r="J39" s="790"/>
      <c r="K39" s="787"/>
      <c r="L39" s="787"/>
      <c r="M39" s="787"/>
      <c r="N39" s="799"/>
      <c r="O39" s="823"/>
      <c r="P39" s="787"/>
      <c r="Q39" s="790"/>
      <c r="R39" s="784"/>
      <c r="S39" s="796"/>
      <c r="T39" s="385">
        <v>45216</v>
      </c>
      <c r="U39" s="787"/>
      <c r="V39" s="380">
        <v>5389.49</v>
      </c>
      <c r="W39" s="385">
        <v>45231</v>
      </c>
      <c r="X39" s="381"/>
      <c r="Y39" s="380"/>
      <c r="Z39" s="380"/>
      <c r="AA39" s="787"/>
      <c r="AB39" s="790"/>
      <c r="AC39" s="820"/>
      <c r="AD39" s="2">
        <v>2</v>
      </c>
    </row>
    <row r="40" spans="1:30" s="2" customFormat="1" x14ac:dyDescent="0.3">
      <c r="A40" s="802"/>
      <c r="B40" s="787"/>
      <c r="C40" s="787"/>
      <c r="D40" s="787"/>
      <c r="E40" s="787"/>
      <c r="F40" s="787"/>
      <c r="G40" s="790"/>
      <c r="H40" s="784"/>
      <c r="I40" s="790"/>
      <c r="J40" s="790"/>
      <c r="K40" s="787"/>
      <c r="L40" s="787"/>
      <c r="M40" s="787"/>
      <c r="N40" s="799"/>
      <c r="O40" s="823"/>
      <c r="P40" s="787"/>
      <c r="Q40" s="790"/>
      <c r="R40" s="784"/>
      <c r="S40" s="796"/>
      <c r="T40" s="385">
        <v>45230</v>
      </c>
      <c r="U40" s="787"/>
      <c r="V40" s="380">
        <v>29443.32</v>
      </c>
      <c r="W40" s="385">
        <v>45246</v>
      </c>
      <c r="X40" s="381"/>
      <c r="Y40" s="380"/>
      <c r="Z40" s="380"/>
      <c r="AA40" s="787"/>
      <c r="AB40" s="790"/>
      <c r="AC40" s="820"/>
      <c r="AD40" s="2">
        <v>2</v>
      </c>
    </row>
    <row r="41" spans="1:30" s="2" customFormat="1" x14ac:dyDescent="0.3">
      <c r="A41" s="802"/>
      <c r="B41" s="787"/>
      <c r="C41" s="787"/>
      <c r="D41" s="787"/>
      <c r="E41" s="787"/>
      <c r="F41" s="787"/>
      <c r="G41" s="790"/>
      <c r="H41" s="784"/>
      <c r="I41" s="790"/>
      <c r="J41" s="790"/>
      <c r="K41" s="787"/>
      <c r="L41" s="787"/>
      <c r="M41" s="787"/>
      <c r="N41" s="799"/>
      <c r="O41" s="823"/>
      <c r="P41" s="787"/>
      <c r="Q41" s="790"/>
      <c r="R41" s="784"/>
      <c r="S41" s="796"/>
      <c r="T41" s="385">
        <v>45230</v>
      </c>
      <c r="U41" s="787"/>
      <c r="V41" s="380">
        <v>84062.21</v>
      </c>
      <c r="W41" s="385">
        <v>45246</v>
      </c>
      <c r="X41" s="381"/>
      <c r="Y41" s="380"/>
      <c r="Z41" s="380"/>
      <c r="AA41" s="787"/>
      <c r="AB41" s="790"/>
      <c r="AC41" s="820"/>
      <c r="AD41" s="2">
        <v>2</v>
      </c>
    </row>
    <row r="42" spans="1:30" s="2" customFormat="1" x14ac:dyDescent="0.3">
      <c r="A42" s="802"/>
      <c r="B42" s="787"/>
      <c r="C42" s="787"/>
      <c r="D42" s="787"/>
      <c r="E42" s="787"/>
      <c r="F42" s="787"/>
      <c r="G42" s="790"/>
      <c r="H42" s="784"/>
      <c r="I42" s="790"/>
      <c r="J42" s="790"/>
      <c r="K42" s="787"/>
      <c r="L42" s="787"/>
      <c r="M42" s="787"/>
      <c r="N42" s="799"/>
      <c r="O42" s="823"/>
      <c r="P42" s="787"/>
      <c r="Q42" s="790"/>
      <c r="R42" s="784"/>
      <c r="S42" s="796"/>
      <c r="T42" s="385">
        <v>45230</v>
      </c>
      <c r="U42" s="787"/>
      <c r="V42" s="380">
        <v>5365.49</v>
      </c>
      <c r="W42" s="385">
        <v>45246</v>
      </c>
      <c r="X42" s="381"/>
      <c r="Y42" s="380"/>
      <c r="Z42" s="380"/>
      <c r="AA42" s="787"/>
      <c r="AB42" s="790"/>
      <c r="AC42" s="820"/>
      <c r="AD42" s="2">
        <v>2</v>
      </c>
    </row>
    <row r="43" spans="1:30" s="2" customFormat="1" x14ac:dyDescent="0.3">
      <c r="A43" s="802"/>
      <c r="B43" s="787"/>
      <c r="C43" s="787"/>
      <c r="D43" s="787"/>
      <c r="E43" s="787"/>
      <c r="F43" s="787"/>
      <c r="G43" s="790"/>
      <c r="H43" s="784"/>
      <c r="I43" s="790"/>
      <c r="J43" s="790"/>
      <c r="K43" s="787"/>
      <c r="L43" s="787"/>
      <c r="M43" s="787"/>
      <c r="N43" s="799"/>
      <c r="O43" s="823"/>
      <c r="P43" s="787"/>
      <c r="Q43" s="790"/>
      <c r="R43" s="784"/>
      <c r="S43" s="796"/>
      <c r="T43" s="385">
        <v>45232</v>
      </c>
      <c r="U43" s="787"/>
      <c r="V43" s="380">
        <v>520.20000000000005</v>
      </c>
      <c r="W43" s="385">
        <v>45246</v>
      </c>
      <c r="X43" s="381"/>
      <c r="Y43" s="380"/>
      <c r="Z43" s="380"/>
      <c r="AA43" s="787"/>
      <c r="AB43" s="790"/>
      <c r="AC43" s="820"/>
      <c r="AD43" s="2">
        <v>2</v>
      </c>
    </row>
    <row r="44" spans="1:30" s="2" customFormat="1" x14ac:dyDescent="0.3">
      <c r="A44" s="802"/>
      <c r="B44" s="787"/>
      <c r="C44" s="787"/>
      <c r="D44" s="787"/>
      <c r="E44" s="787"/>
      <c r="F44" s="787"/>
      <c r="G44" s="790"/>
      <c r="H44" s="784"/>
      <c r="I44" s="790"/>
      <c r="J44" s="790"/>
      <c r="K44" s="787"/>
      <c r="L44" s="787"/>
      <c r="M44" s="787"/>
      <c r="N44" s="799"/>
      <c r="O44" s="823"/>
      <c r="P44" s="787"/>
      <c r="Q44" s="790"/>
      <c r="R44" s="784"/>
      <c r="S44" s="796"/>
      <c r="T44" s="385">
        <v>45232</v>
      </c>
      <c r="U44" s="787"/>
      <c r="V44" s="380">
        <v>1934.89</v>
      </c>
      <c r="W44" s="385">
        <v>45246</v>
      </c>
      <c r="X44" s="381"/>
      <c r="Y44" s="380"/>
      <c r="Z44" s="380"/>
      <c r="AA44" s="787"/>
      <c r="AB44" s="790"/>
      <c r="AC44" s="820"/>
      <c r="AD44" s="2">
        <v>2</v>
      </c>
    </row>
    <row r="45" spans="1:30" s="2" customFormat="1" x14ac:dyDescent="0.3">
      <c r="A45" s="802"/>
      <c r="B45" s="787"/>
      <c r="C45" s="787"/>
      <c r="D45" s="787"/>
      <c r="E45" s="787"/>
      <c r="F45" s="787"/>
      <c r="G45" s="790"/>
      <c r="H45" s="784"/>
      <c r="I45" s="790"/>
      <c r="J45" s="790"/>
      <c r="K45" s="787"/>
      <c r="L45" s="787"/>
      <c r="M45" s="787"/>
      <c r="N45" s="799"/>
      <c r="O45" s="823"/>
      <c r="P45" s="787"/>
      <c r="Q45" s="790"/>
      <c r="R45" s="784"/>
      <c r="S45" s="796"/>
      <c r="T45" s="385">
        <v>45232</v>
      </c>
      <c r="U45" s="787"/>
      <c r="V45" s="380">
        <v>123.51</v>
      </c>
      <c r="W45" s="385">
        <v>45246</v>
      </c>
      <c r="X45" s="381"/>
      <c r="Y45" s="380"/>
      <c r="Z45" s="380"/>
      <c r="AA45" s="787"/>
      <c r="AB45" s="790"/>
      <c r="AC45" s="820"/>
      <c r="AD45" s="2">
        <v>2</v>
      </c>
    </row>
    <row r="46" spans="1:30" s="2" customFormat="1" x14ac:dyDescent="0.3">
      <c r="A46" s="802"/>
      <c r="B46" s="787"/>
      <c r="C46" s="787"/>
      <c r="D46" s="787"/>
      <c r="E46" s="787"/>
      <c r="F46" s="787"/>
      <c r="G46" s="790"/>
      <c r="H46" s="784"/>
      <c r="I46" s="790"/>
      <c r="J46" s="790"/>
      <c r="K46" s="787"/>
      <c r="L46" s="787"/>
      <c r="M46" s="787"/>
      <c r="N46" s="799"/>
      <c r="O46" s="823"/>
      <c r="P46" s="787"/>
      <c r="Q46" s="790"/>
      <c r="R46" s="784"/>
      <c r="S46" s="796"/>
      <c r="T46" s="385">
        <v>45232</v>
      </c>
      <c r="U46" s="787"/>
      <c r="V46" s="380">
        <v>23151.59</v>
      </c>
      <c r="W46" s="385">
        <v>45246</v>
      </c>
      <c r="X46" s="381"/>
      <c r="Y46" s="380"/>
      <c r="Z46" s="380"/>
      <c r="AA46" s="787"/>
      <c r="AB46" s="790"/>
      <c r="AC46" s="820"/>
      <c r="AD46" s="2">
        <v>2</v>
      </c>
    </row>
    <row r="47" spans="1:30" s="2" customFormat="1" x14ac:dyDescent="0.3">
      <c r="A47" s="802"/>
      <c r="B47" s="787"/>
      <c r="C47" s="787"/>
      <c r="D47" s="787"/>
      <c r="E47" s="787"/>
      <c r="F47" s="787"/>
      <c r="G47" s="790"/>
      <c r="H47" s="784"/>
      <c r="I47" s="790"/>
      <c r="J47" s="790"/>
      <c r="K47" s="787"/>
      <c r="L47" s="787"/>
      <c r="M47" s="787"/>
      <c r="N47" s="799"/>
      <c r="O47" s="823"/>
      <c r="P47" s="787"/>
      <c r="Q47" s="790"/>
      <c r="R47" s="784"/>
      <c r="S47" s="796"/>
      <c r="T47" s="385">
        <v>45232</v>
      </c>
      <c r="U47" s="787"/>
      <c r="V47" s="380">
        <v>18942.21</v>
      </c>
      <c r="W47" s="385">
        <v>45246</v>
      </c>
      <c r="X47" s="381"/>
      <c r="Y47" s="380"/>
      <c r="Z47" s="380"/>
      <c r="AA47" s="787"/>
      <c r="AB47" s="790"/>
      <c r="AC47" s="820"/>
      <c r="AD47" s="2">
        <v>2</v>
      </c>
    </row>
    <row r="48" spans="1:30" s="2" customFormat="1" x14ac:dyDescent="0.3">
      <c r="A48" s="802"/>
      <c r="B48" s="787"/>
      <c r="C48" s="787"/>
      <c r="D48" s="787"/>
      <c r="E48" s="787"/>
      <c r="F48" s="787"/>
      <c r="G48" s="790"/>
      <c r="H48" s="784"/>
      <c r="I48" s="790"/>
      <c r="J48" s="790"/>
      <c r="K48" s="787"/>
      <c r="L48" s="787"/>
      <c r="M48" s="787"/>
      <c r="N48" s="799"/>
      <c r="O48" s="823"/>
      <c r="P48" s="787"/>
      <c r="Q48" s="790"/>
      <c r="R48" s="784"/>
      <c r="S48" s="796"/>
      <c r="T48" s="385">
        <v>45232</v>
      </c>
      <c r="U48" s="787"/>
      <c r="V48" s="380">
        <v>11132.28</v>
      </c>
      <c r="W48" s="385">
        <v>45246</v>
      </c>
      <c r="X48" s="381"/>
      <c r="Y48" s="380"/>
      <c r="Z48" s="380"/>
      <c r="AA48" s="787"/>
      <c r="AB48" s="790"/>
      <c r="AC48" s="820"/>
      <c r="AD48" s="2">
        <v>2</v>
      </c>
    </row>
    <row r="49" spans="1:30" s="2" customFormat="1" x14ac:dyDescent="0.3">
      <c r="A49" s="802"/>
      <c r="B49" s="787"/>
      <c r="C49" s="787"/>
      <c r="D49" s="787"/>
      <c r="E49" s="787"/>
      <c r="F49" s="787"/>
      <c r="G49" s="790"/>
      <c r="H49" s="784"/>
      <c r="I49" s="790"/>
      <c r="J49" s="790"/>
      <c r="K49" s="787"/>
      <c r="L49" s="787"/>
      <c r="M49" s="787"/>
      <c r="N49" s="799"/>
      <c r="O49" s="823"/>
      <c r="P49" s="787"/>
      <c r="Q49" s="790"/>
      <c r="R49" s="784"/>
      <c r="S49" s="796"/>
      <c r="T49" s="385">
        <v>45233</v>
      </c>
      <c r="U49" s="787"/>
      <c r="V49" s="380">
        <v>5086.9799999999996</v>
      </c>
      <c r="W49" s="385">
        <v>45246</v>
      </c>
      <c r="X49" s="381"/>
      <c r="Y49" s="380"/>
      <c r="Z49" s="380"/>
      <c r="AA49" s="787"/>
      <c r="AB49" s="790"/>
      <c r="AC49" s="820"/>
      <c r="AD49" s="2">
        <v>2</v>
      </c>
    </row>
    <row r="50" spans="1:30" s="2" customFormat="1" x14ac:dyDescent="0.3">
      <c r="A50" s="802"/>
      <c r="B50" s="787"/>
      <c r="C50" s="787"/>
      <c r="D50" s="787"/>
      <c r="E50" s="787"/>
      <c r="F50" s="787"/>
      <c r="G50" s="790"/>
      <c r="H50" s="784"/>
      <c r="I50" s="790"/>
      <c r="J50" s="790"/>
      <c r="K50" s="787"/>
      <c r="L50" s="787"/>
      <c r="M50" s="787"/>
      <c r="N50" s="799"/>
      <c r="O50" s="823"/>
      <c r="P50" s="787"/>
      <c r="Q50" s="790"/>
      <c r="R50" s="784"/>
      <c r="S50" s="796"/>
      <c r="T50" s="385">
        <v>45233</v>
      </c>
      <c r="U50" s="787"/>
      <c r="V50" s="380">
        <v>1534.59</v>
      </c>
      <c r="W50" s="385">
        <v>45246</v>
      </c>
      <c r="X50" s="381"/>
      <c r="Y50" s="380"/>
      <c r="Z50" s="380"/>
      <c r="AA50" s="787"/>
      <c r="AB50" s="790"/>
      <c r="AC50" s="820"/>
      <c r="AD50" s="2">
        <v>2</v>
      </c>
    </row>
    <row r="51" spans="1:30" s="2" customFormat="1" x14ac:dyDescent="0.3">
      <c r="A51" s="802"/>
      <c r="B51" s="787"/>
      <c r="C51" s="787"/>
      <c r="D51" s="787"/>
      <c r="E51" s="787"/>
      <c r="F51" s="787"/>
      <c r="G51" s="790"/>
      <c r="H51" s="784"/>
      <c r="I51" s="790"/>
      <c r="J51" s="790"/>
      <c r="K51" s="787"/>
      <c r="L51" s="787"/>
      <c r="M51" s="787"/>
      <c r="N51" s="799"/>
      <c r="O51" s="823"/>
      <c r="P51" s="787"/>
      <c r="Q51" s="790"/>
      <c r="R51" s="784"/>
      <c r="S51" s="796"/>
      <c r="T51" s="385">
        <v>45233</v>
      </c>
      <c r="U51" s="787"/>
      <c r="V51" s="380">
        <v>3540.6</v>
      </c>
      <c r="W51" s="385">
        <v>45246</v>
      </c>
      <c r="X51" s="381"/>
      <c r="Y51" s="380"/>
      <c r="Z51" s="380"/>
      <c r="AA51" s="787"/>
      <c r="AB51" s="790"/>
      <c r="AC51" s="820"/>
      <c r="AD51" s="2">
        <v>2</v>
      </c>
    </row>
    <row r="52" spans="1:30" s="2" customFormat="1" x14ac:dyDescent="0.3">
      <c r="A52" s="802"/>
      <c r="B52" s="787"/>
      <c r="C52" s="787"/>
      <c r="D52" s="787"/>
      <c r="E52" s="787"/>
      <c r="F52" s="787"/>
      <c r="G52" s="790"/>
      <c r="H52" s="784"/>
      <c r="I52" s="790"/>
      <c r="J52" s="790"/>
      <c r="K52" s="787"/>
      <c r="L52" s="787"/>
      <c r="M52" s="787"/>
      <c r="N52" s="799"/>
      <c r="O52" s="823"/>
      <c r="P52" s="787"/>
      <c r="Q52" s="790"/>
      <c r="R52" s="784"/>
      <c r="S52" s="796"/>
      <c r="T52" s="385">
        <v>45233</v>
      </c>
      <c r="U52" s="787"/>
      <c r="V52" s="380">
        <v>936.36</v>
      </c>
      <c r="W52" s="385">
        <v>45246</v>
      </c>
      <c r="X52" s="381"/>
      <c r="Y52" s="380"/>
      <c r="Z52" s="380"/>
      <c r="AA52" s="787"/>
      <c r="AB52" s="790"/>
      <c r="AC52" s="820"/>
      <c r="AD52" s="2">
        <v>2</v>
      </c>
    </row>
    <row r="53" spans="1:30" s="2" customFormat="1" x14ac:dyDescent="0.3">
      <c r="A53" s="802"/>
      <c r="B53" s="787"/>
      <c r="C53" s="787"/>
      <c r="D53" s="787"/>
      <c r="E53" s="787"/>
      <c r="F53" s="787"/>
      <c r="G53" s="790"/>
      <c r="H53" s="784"/>
      <c r="I53" s="790"/>
      <c r="J53" s="790"/>
      <c r="K53" s="787"/>
      <c r="L53" s="787"/>
      <c r="M53" s="787"/>
      <c r="N53" s="799"/>
      <c r="O53" s="823"/>
      <c r="P53" s="787"/>
      <c r="Q53" s="790"/>
      <c r="R53" s="784"/>
      <c r="S53" s="796"/>
      <c r="T53" s="385">
        <v>45231</v>
      </c>
      <c r="U53" s="787"/>
      <c r="V53" s="380">
        <v>468.18</v>
      </c>
      <c r="W53" s="385">
        <v>45246</v>
      </c>
      <c r="X53" s="381"/>
      <c r="Y53" s="380"/>
      <c r="Z53" s="380"/>
      <c r="AA53" s="787"/>
      <c r="AB53" s="790"/>
      <c r="AC53" s="820"/>
      <c r="AD53" s="2">
        <v>2</v>
      </c>
    </row>
    <row r="54" spans="1:30" s="2" customFormat="1" x14ac:dyDescent="0.3">
      <c r="A54" s="802"/>
      <c r="B54" s="787"/>
      <c r="C54" s="787"/>
      <c r="D54" s="787"/>
      <c r="E54" s="787"/>
      <c r="F54" s="787"/>
      <c r="G54" s="790"/>
      <c r="H54" s="784"/>
      <c r="I54" s="790"/>
      <c r="J54" s="790"/>
      <c r="K54" s="787"/>
      <c r="L54" s="787"/>
      <c r="M54" s="787"/>
      <c r="N54" s="799"/>
      <c r="O54" s="823"/>
      <c r="P54" s="787"/>
      <c r="Q54" s="790"/>
      <c r="R54" s="784"/>
      <c r="S54" s="796"/>
      <c r="T54" s="385">
        <v>45231</v>
      </c>
      <c r="U54" s="787"/>
      <c r="V54" s="380">
        <v>1741.4</v>
      </c>
      <c r="W54" s="385">
        <v>45246</v>
      </c>
      <c r="X54" s="381"/>
      <c r="Y54" s="380"/>
      <c r="Z54" s="380"/>
      <c r="AA54" s="787"/>
      <c r="AB54" s="790"/>
      <c r="AC54" s="820"/>
      <c r="AD54" s="2">
        <v>2</v>
      </c>
    </row>
    <row r="55" spans="1:30" s="2" customFormat="1" x14ac:dyDescent="0.3">
      <c r="A55" s="802"/>
      <c r="B55" s="787"/>
      <c r="C55" s="787"/>
      <c r="D55" s="787"/>
      <c r="E55" s="787"/>
      <c r="F55" s="787"/>
      <c r="G55" s="790"/>
      <c r="H55" s="784"/>
      <c r="I55" s="790"/>
      <c r="J55" s="790"/>
      <c r="K55" s="787"/>
      <c r="L55" s="787"/>
      <c r="M55" s="787"/>
      <c r="N55" s="799"/>
      <c r="O55" s="823"/>
      <c r="P55" s="787"/>
      <c r="Q55" s="790"/>
      <c r="R55" s="784"/>
      <c r="S55" s="796"/>
      <c r="T55" s="385">
        <v>45231</v>
      </c>
      <c r="U55" s="787"/>
      <c r="V55" s="380">
        <v>111.16</v>
      </c>
      <c r="W55" s="385">
        <v>45246</v>
      </c>
      <c r="X55" s="381"/>
      <c r="Y55" s="380"/>
      <c r="Z55" s="380"/>
      <c r="AA55" s="787"/>
      <c r="AB55" s="790"/>
      <c r="AC55" s="820"/>
      <c r="AD55" s="2">
        <v>2</v>
      </c>
    </row>
    <row r="56" spans="1:30" s="2" customFormat="1" x14ac:dyDescent="0.3">
      <c r="A56" s="802"/>
      <c r="B56" s="787"/>
      <c r="C56" s="787"/>
      <c r="D56" s="787"/>
      <c r="E56" s="787"/>
      <c r="F56" s="787"/>
      <c r="G56" s="790"/>
      <c r="H56" s="784"/>
      <c r="I56" s="790"/>
      <c r="J56" s="790"/>
      <c r="K56" s="787"/>
      <c r="L56" s="787"/>
      <c r="M56" s="787"/>
      <c r="N56" s="799"/>
      <c r="O56" s="823"/>
      <c r="P56" s="787"/>
      <c r="Q56" s="790"/>
      <c r="R56" s="784"/>
      <c r="S56" s="796"/>
      <c r="T56" s="385"/>
      <c r="U56" s="787"/>
      <c r="V56" s="380"/>
      <c r="W56" s="385"/>
      <c r="X56" s="381"/>
      <c r="Y56" s="380"/>
      <c r="Z56" s="380"/>
      <c r="AA56" s="787"/>
      <c r="AB56" s="790"/>
      <c r="AC56" s="820"/>
      <c r="AD56" s="2">
        <v>2</v>
      </c>
    </row>
    <row r="57" spans="1:30" s="2" customFormat="1" x14ac:dyDescent="0.3">
      <c r="A57" s="803"/>
      <c r="B57" s="788"/>
      <c r="C57" s="788"/>
      <c r="D57" s="788"/>
      <c r="E57" s="788"/>
      <c r="F57" s="788"/>
      <c r="G57" s="791"/>
      <c r="H57" s="785"/>
      <c r="I57" s="791"/>
      <c r="J57" s="791"/>
      <c r="K57" s="788"/>
      <c r="L57" s="788"/>
      <c r="M57" s="788"/>
      <c r="N57" s="800"/>
      <c r="O57" s="824"/>
      <c r="P57" s="788"/>
      <c r="Q57" s="791"/>
      <c r="R57" s="785"/>
      <c r="S57" s="797"/>
      <c r="T57" s="386"/>
      <c r="U57" s="788"/>
      <c r="V57" s="382"/>
      <c r="W57" s="386"/>
      <c r="X57" s="383"/>
      <c r="Y57" s="382"/>
      <c r="Z57" s="382"/>
      <c r="AA57" s="788"/>
      <c r="AB57" s="791"/>
      <c r="AC57" s="821"/>
      <c r="AD57" s="2">
        <v>2</v>
      </c>
    </row>
    <row r="58" spans="1:30" hidden="1" x14ac:dyDescent="0.3">
      <c r="M58" s="3"/>
      <c r="AD58" s="8">
        <v>3</v>
      </c>
    </row>
    <row r="59" spans="1:30" hidden="1" x14ac:dyDescent="0.3">
      <c r="M59" s="3"/>
    </row>
    <row r="60" spans="1:30" hidden="1" x14ac:dyDescent="0.3">
      <c r="M60" s="3"/>
    </row>
    <row r="61" spans="1:30" hidden="1" x14ac:dyDescent="0.3">
      <c r="M61" s="3"/>
    </row>
    <row r="62" spans="1:30" hidden="1" x14ac:dyDescent="0.3">
      <c r="M62" s="3"/>
    </row>
    <row r="63" spans="1:30" hidden="1" x14ac:dyDescent="0.3">
      <c r="M63" s="3"/>
    </row>
    <row r="64" spans="1:30" hidden="1" x14ac:dyDescent="0.3">
      <c r="M64" s="3"/>
    </row>
    <row r="65" spans="13:13" hidden="1" x14ac:dyDescent="0.3">
      <c r="M65" s="3"/>
    </row>
    <row r="66" spans="13:13" hidden="1" x14ac:dyDescent="0.3">
      <c r="M66" s="3"/>
    </row>
  </sheetData>
  <sheetProtection password="EB34" sheet="1" objects="1" scenarios="1" formatCells="0" formatColumns="0" formatRows="0"/>
  <mergeCells count="51">
    <mergeCell ref="AB9:AB17"/>
    <mergeCell ref="C9:C17"/>
    <mergeCell ref="S9:S17"/>
    <mergeCell ref="Y2:AA2"/>
    <mergeCell ref="T2:U2"/>
    <mergeCell ref="P4:R4"/>
    <mergeCell ref="E2:F2"/>
    <mergeCell ref="O2:P2"/>
    <mergeCell ref="R9:R17"/>
    <mergeCell ref="A9:A17"/>
    <mergeCell ref="U9:U17"/>
    <mergeCell ref="AA9:AA17"/>
    <mergeCell ref="B9:B17"/>
    <mergeCell ref="A18:A57"/>
    <mergeCell ref="AC9:AC17"/>
    <mergeCell ref="D9:D17"/>
    <mergeCell ref="E9:E17"/>
    <mergeCell ref="F9:F17"/>
    <mergeCell ref="G9:G17"/>
    <mergeCell ref="H9:H17"/>
    <mergeCell ref="I9:I17"/>
    <mergeCell ref="J9:J17"/>
    <mergeCell ref="K9:K17"/>
    <mergeCell ref="L9:L17"/>
    <mergeCell ref="M9:M17"/>
    <mergeCell ref="N9:N17"/>
    <mergeCell ref="O9:O17"/>
    <mergeCell ref="P9:P17"/>
    <mergeCell ref="Q9:Q17"/>
    <mergeCell ref="U18:U57"/>
    <mergeCell ref="AA18:AA57"/>
    <mergeCell ref="B18:B57"/>
    <mergeCell ref="AB18:AB57"/>
    <mergeCell ref="C18:C57"/>
    <mergeCell ref="S18:S57"/>
    <mergeCell ref="AC18:AC57"/>
    <mergeCell ref="D18:D57"/>
    <mergeCell ref="E18:E57"/>
    <mergeCell ref="F18:F57"/>
    <mergeCell ref="G18:G57"/>
    <mergeCell ref="H18:H57"/>
    <mergeCell ref="I18:I57"/>
    <mergeCell ref="J18:J57"/>
    <mergeCell ref="K18:K57"/>
    <mergeCell ref="L18:L57"/>
    <mergeCell ref="M18:M57"/>
    <mergeCell ref="N18:N57"/>
    <mergeCell ref="O18:O57"/>
    <mergeCell ref="P18:P57"/>
    <mergeCell ref="Q18:Q57"/>
    <mergeCell ref="R18:R57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tabColor theme="3" tint="0.39997558519241921"/>
  </sheetPr>
  <dimension ref="A1:K83"/>
  <sheetViews>
    <sheetView workbookViewId="0">
      <selection activeCell="F20" sqref="F20"/>
    </sheetView>
  </sheetViews>
  <sheetFormatPr defaultColWidth="9.109375" defaultRowHeight="15.6" x14ac:dyDescent="0.3"/>
  <cols>
    <col min="1" max="1" width="15.33203125" style="52" customWidth="1"/>
    <col min="2" max="2" width="17.44140625" style="50" customWidth="1"/>
    <col min="3" max="3" width="17.33203125" style="50" customWidth="1"/>
    <col min="4" max="4" width="38.88671875" style="50" customWidth="1"/>
    <col min="5" max="5" width="15.5546875" style="50" bestFit="1" customWidth="1"/>
    <col min="6" max="11" width="16.109375" style="50" customWidth="1"/>
    <col min="12" max="16384" width="9.109375" style="50"/>
  </cols>
  <sheetData>
    <row r="1" spans="1:11" x14ac:dyDescent="0.3">
      <c r="A1" s="65">
        <v>155</v>
      </c>
      <c r="B1" s="65">
        <v>64</v>
      </c>
      <c r="C1" s="65">
        <v>9</v>
      </c>
      <c r="D1" s="828" t="s">
        <v>50</v>
      </c>
      <c r="E1" s="48"/>
      <c r="F1" s="80" t="s">
        <v>108</v>
      </c>
      <c r="G1" s="84" t="s">
        <v>108</v>
      </c>
      <c r="H1" s="83" t="s">
        <v>108</v>
      </c>
      <c r="I1" s="82" t="s">
        <v>108</v>
      </c>
      <c r="J1" s="81" t="s">
        <v>108</v>
      </c>
      <c r="K1" s="85" t="s">
        <v>108</v>
      </c>
    </row>
    <row r="2" spans="1:11" x14ac:dyDescent="0.3">
      <c r="A2" s="66" t="s">
        <v>84</v>
      </c>
      <c r="B2" s="65" t="s">
        <v>85</v>
      </c>
      <c r="C2" s="65" t="s">
        <v>86</v>
      </c>
      <c r="D2" s="829"/>
      <c r="E2" s="48"/>
      <c r="F2" s="80">
        <v>85</v>
      </c>
      <c r="G2" s="84">
        <v>62</v>
      </c>
      <c r="H2" s="83">
        <v>3</v>
      </c>
      <c r="I2" s="82">
        <v>1</v>
      </c>
      <c r="J2" s="81">
        <v>1</v>
      </c>
      <c r="K2" s="85">
        <v>2</v>
      </c>
    </row>
    <row r="3" spans="1:11" x14ac:dyDescent="0.3">
      <c r="A3" s="51"/>
      <c r="B3" s="47"/>
      <c r="C3" s="47"/>
      <c r="D3" s="47"/>
      <c r="E3" s="48"/>
      <c r="F3" s="80" t="s">
        <v>109</v>
      </c>
      <c r="G3" s="84" t="s">
        <v>109</v>
      </c>
      <c r="H3" s="83" t="s">
        <v>109</v>
      </c>
      <c r="I3" s="82" t="s">
        <v>109</v>
      </c>
      <c r="J3" s="81" t="s">
        <v>109</v>
      </c>
      <c r="K3" s="85" t="s">
        <v>109</v>
      </c>
    </row>
    <row r="4" spans="1:11" x14ac:dyDescent="0.3">
      <c r="A4" s="61">
        <v>166</v>
      </c>
      <c r="B4" s="62">
        <v>44</v>
      </c>
      <c r="C4" s="62">
        <v>9</v>
      </c>
      <c r="D4" s="830" t="s">
        <v>102</v>
      </c>
      <c r="E4" s="48"/>
      <c r="F4" s="80">
        <v>86</v>
      </c>
      <c r="G4" s="84">
        <v>63</v>
      </c>
      <c r="H4" s="83">
        <v>4</v>
      </c>
      <c r="I4" s="82">
        <v>2</v>
      </c>
      <c r="J4" s="81">
        <v>2</v>
      </c>
      <c r="K4" s="85">
        <v>3</v>
      </c>
    </row>
    <row r="5" spans="1:11" x14ac:dyDescent="0.3">
      <c r="A5" s="61" t="s">
        <v>89</v>
      </c>
      <c r="B5" s="62" t="s">
        <v>88</v>
      </c>
      <c r="C5" s="62" t="s">
        <v>87</v>
      </c>
      <c r="D5" s="831"/>
      <c r="E5" s="48"/>
      <c r="F5" s="48"/>
      <c r="G5" s="48"/>
      <c r="H5" s="49"/>
      <c r="I5" s="49"/>
      <c r="J5" s="49"/>
    </row>
    <row r="6" spans="1:11" x14ac:dyDescent="0.3">
      <c r="A6" s="51"/>
      <c r="B6" s="47"/>
      <c r="C6" s="47"/>
      <c r="D6" s="47"/>
      <c r="E6" s="48"/>
      <c r="F6" s="48"/>
      <c r="G6" s="48"/>
      <c r="H6" s="49"/>
      <c r="I6" s="49"/>
      <c r="J6" s="49"/>
    </row>
    <row r="7" spans="1:11" x14ac:dyDescent="0.3">
      <c r="A7" s="63">
        <v>20</v>
      </c>
      <c r="B7" s="64">
        <v>3</v>
      </c>
      <c r="C7" s="64">
        <v>9</v>
      </c>
      <c r="D7" s="832" t="s">
        <v>52</v>
      </c>
      <c r="E7" s="48"/>
      <c r="F7" s="48"/>
      <c r="G7" s="48"/>
      <c r="H7" s="49"/>
      <c r="I7" s="49"/>
      <c r="J7" s="49"/>
    </row>
    <row r="8" spans="1:11" x14ac:dyDescent="0.3">
      <c r="A8" s="63" t="s">
        <v>90</v>
      </c>
      <c r="B8" s="64" t="s">
        <v>91</v>
      </c>
      <c r="C8" s="64" t="s">
        <v>92</v>
      </c>
      <c r="D8" s="833"/>
      <c r="E8" s="48"/>
      <c r="F8" s="48"/>
      <c r="G8" s="48"/>
      <c r="H8" s="49"/>
      <c r="I8" s="49"/>
      <c r="J8" s="49"/>
    </row>
    <row r="9" spans="1:11" x14ac:dyDescent="0.3">
      <c r="A9" s="51"/>
      <c r="B9" s="47"/>
      <c r="C9" s="47"/>
      <c r="D9" s="47"/>
      <c r="E9" s="47"/>
      <c r="F9" s="47"/>
      <c r="G9" s="47"/>
    </row>
    <row r="10" spans="1:11" x14ac:dyDescent="0.3">
      <c r="A10" s="59">
        <v>15</v>
      </c>
      <c r="B10" s="60">
        <v>1</v>
      </c>
      <c r="C10" s="60">
        <v>9</v>
      </c>
      <c r="D10" s="834" t="s">
        <v>31</v>
      </c>
      <c r="E10" s="47"/>
      <c r="F10" s="47"/>
      <c r="G10" s="47"/>
    </row>
    <row r="11" spans="1:11" x14ac:dyDescent="0.3">
      <c r="A11" s="59" t="s">
        <v>93</v>
      </c>
      <c r="B11" s="60" t="s">
        <v>94</v>
      </c>
      <c r="C11" s="60" t="s">
        <v>95</v>
      </c>
      <c r="D11" s="835"/>
      <c r="E11" s="47"/>
      <c r="F11" s="47"/>
      <c r="G11" s="47"/>
    </row>
    <row r="12" spans="1:11" x14ac:dyDescent="0.3">
      <c r="A12" s="51"/>
      <c r="B12" s="47"/>
      <c r="C12" s="47"/>
      <c r="D12" s="47"/>
      <c r="E12" s="47"/>
      <c r="F12" s="47"/>
      <c r="G12" s="47"/>
    </row>
    <row r="13" spans="1:11" x14ac:dyDescent="0.3">
      <c r="A13" s="57">
        <v>30</v>
      </c>
      <c r="B13" s="58">
        <v>1</v>
      </c>
      <c r="C13" s="58">
        <v>9</v>
      </c>
      <c r="D13" s="836" t="s">
        <v>49</v>
      </c>
      <c r="E13" s="47"/>
      <c r="F13" s="47"/>
      <c r="G13" s="47"/>
    </row>
    <row r="14" spans="1:11" x14ac:dyDescent="0.3">
      <c r="A14" s="57" t="s">
        <v>96</v>
      </c>
      <c r="B14" s="58" t="s">
        <v>97</v>
      </c>
      <c r="C14" s="58" t="s">
        <v>98</v>
      </c>
      <c r="D14" s="837"/>
      <c r="E14" s="47"/>
      <c r="F14" s="47"/>
      <c r="G14" s="47"/>
    </row>
    <row r="15" spans="1:11" x14ac:dyDescent="0.3">
      <c r="A15" s="51"/>
      <c r="B15" s="47"/>
      <c r="C15" s="47"/>
      <c r="D15" s="47"/>
      <c r="E15" s="47"/>
      <c r="F15" s="47"/>
      <c r="G15" s="47"/>
    </row>
    <row r="16" spans="1:11" x14ac:dyDescent="0.3">
      <c r="A16" s="55">
        <v>57</v>
      </c>
      <c r="B16" s="56">
        <v>2</v>
      </c>
      <c r="C16" s="56">
        <v>9</v>
      </c>
      <c r="D16" s="826" t="s">
        <v>83</v>
      </c>
      <c r="E16" s="47"/>
      <c r="F16" s="47"/>
      <c r="G16" s="47"/>
    </row>
    <row r="17" spans="1:4" x14ac:dyDescent="0.3">
      <c r="A17" s="55" t="s">
        <v>99</v>
      </c>
      <c r="B17" s="56" t="s">
        <v>100</v>
      </c>
      <c r="C17" s="56" t="s">
        <v>101</v>
      </c>
      <c r="D17" s="827"/>
    </row>
    <row r="18" spans="1:4" x14ac:dyDescent="0.3">
      <c r="A18" s="51"/>
    </row>
    <row r="19" spans="1:4" x14ac:dyDescent="0.3">
      <c r="A19" s="51"/>
    </row>
    <row r="20" spans="1:4" x14ac:dyDescent="0.3">
      <c r="A20" s="51"/>
    </row>
    <row r="21" spans="1:4" x14ac:dyDescent="0.3">
      <c r="A21" s="51"/>
    </row>
    <row r="22" spans="1:4" x14ac:dyDescent="0.3">
      <c r="A22" s="51"/>
    </row>
    <row r="23" spans="1:4" x14ac:dyDescent="0.3">
      <c r="A23" s="51"/>
    </row>
    <row r="24" spans="1:4" x14ac:dyDescent="0.3">
      <c r="A24" s="51"/>
    </row>
    <row r="25" spans="1:4" x14ac:dyDescent="0.3">
      <c r="A25" s="51"/>
    </row>
    <row r="26" spans="1:4" x14ac:dyDescent="0.3">
      <c r="A26" s="51"/>
    </row>
    <row r="27" spans="1:4" x14ac:dyDescent="0.3">
      <c r="A27" s="51"/>
    </row>
    <row r="28" spans="1:4" x14ac:dyDescent="0.3">
      <c r="A28" s="51"/>
    </row>
    <row r="29" spans="1:4" x14ac:dyDescent="0.3">
      <c r="A29" s="51"/>
    </row>
    <row r="30" spans="1:4" x14ac:dyDescent="0.3">
      <c r="A30" s="51"/>
    </row>
    <row r="31" spans="1:4" x14ac:dyDescent="0.3">
      <c r="A31" s="51"/>
    </row>
    <row r="32" spans="1:4" x14ac:dyDescent="0.3">
      <c r="A32" s="51"/>
    </row>
    <row r="33" spans="1:1" x14ac:dyDescent="0.3">
      <c r="A33" s="51"/>
    </row>
    <row r="34" spans="1:1" x14ac:dyDescent="0.3">
      <c r="A34" s="51"/>
    </row>
    <row r="35" spans="1:1" x14ac:dyDescent="0.3">
      <c r="A35" s="51"/>
    </row>
    <row r="36" spans="1:1" x14ac:dyDescent="0.3">
      <c r="A36" s="51"/>
    </row>
    <row r="37" spans="1:1" x14ac:dyDescent="0.3">
      <c r="A37" s="51"/>
    </row>
    <row r="38" spans="1:1" x14ac:dyDescent="0.3">
      <c r="A38" s="51"/>
    </row>
    <row r="39" spans="1:1" x14ac:dyDescent="0.3">
      <c r="A39" s="51"/>
    </row>
    <row r="40" spans="1:1" x14ac:dyDescent="0.3">
      <c r="A40" s="51"/>
    </row>
    <row r="41" spans="1:1" x14ac:dyDescent="0.3">
      <c r="A41" s="51"/>
    </row>
    <row r="42" spans="1:1" x14ac:dyDescent="0.3">
      <c r="A42" s="51"/>
    </row>
    <row r="43" spans="1:1" x14ac:dyDescent="0.3">
      <c r="A43" s="51"/>
    </row>
    <row r="44" spans="1:1" x14ac:dyDescent="0.3">
      <c r="A44" s="51"/>
    </row>
    <row r="45" spans="1:1" x14ac:dyDescent="0.3">
      <c r="A45" s="51"/>
    </row>
    <row r="81" spans="1:1" x14ac:dyDescent="0.3">
      <c r="A81" s="53"/>
    </row>
    <row r="82" spans="1:1" x14ac:dyDescent="0.3">
      <c r="A82" s="53"/>
    </row>
    <row r="83" spans="1:1" x14ac:dyDescent="0.3">
      <c r="A83" s="54"/>
    </row>
  </sheetData>
  <mergeCells count="6">
    <mergeCell ref="D16:D17"/>
    <mergeCell ref="D1:D2"/>
    <mergeCell ref="D4:D5"/>
    <mergeCell ref="D7:D8"/>
    <mergeCell ref="D10:D11"/>
    <mergeCell ref="D13:D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Общая информация</vt:lpstr>
      <vt:lpstr>Ед. поставщик п.4 ч.1</vt:lpstr>
      <vt:lpstr>Ед. поставщик п.5 ч.1</vt:lpstr>
      <vt:lpstr>Ед.поставщик за искл. п.4,5 ч.1</vt:lpstr>
      <vt:lpstr>Состоявшиеся аукционы</vt:lpstr>
      <vt:lpstr>Несостоявшиеся аукционы</vt:lpstr>
      <vt:lpstr>Иные конкурентные закупки</vt:lpstr>
      <vt:lpstr>Настройки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Компьютер № 3</dc:creator>
  <cp:lastModifiedBy>Владелец</cp:lastModifiedBy>
  <cp:lastPrinted>2019-09-24T06:31:40Z</cp:lastPrinted>
  <dcterms:created xsi:type="dcterms:W3CDTF">2017-01-25T04:28:39Z</dcterms:created>
  <dcterms:modified xsi:type="dcterms:W3CDTF">2023-12-13T09:17:05Z</dcterms:modified>
</cp:coreProperties>
</file>