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7476" windowHeight="2232" tabRatio="603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H2" i="31" l="1"/>
  <c r="P2" i="31"/>
  <c r="V2" i="31"/>
  <c r="H2" i="27"/>
  <c r="P2" i="27"/>
  <c r="V2" i="27"/>
  <c r="G2" i="19" l="1"/>
  <c r="N2" i="19"/>
  <c r="T2" i="19"/>
  <c r="G2" i="17"/>
  <c r="Q2" i="17"/>
  <c r="V2" i="17"/>
  <c r="AB2" i="17"/>
  <c r="G2" i="22"/>
  <c r="Q2" i="22"/>
  <c r="V2" i="22"/>
  <c r="AB2" i="22"/>
  <c r="H18" i="17"/>
  <c r="R18" i="17"/>
  <c r="I42" i="27"/>
  <c r="I17" i="27"/>
  <c r="I39" i="27"/>
  <c r="I228" i="31"/>
  <c r="I212" i="31"/>
  <c r="I209" i="31"/>
  <c r="I130" i="31"/>
  <c r="I47" i="31"/>
  <c r="I11" i="31"/>
  <c r="I71" i="31"/>
  <c r="I61" i="31"/>
  <c r="I21" i="31" l="1"/>
  <c r="I89" i="27" l="1"/>
  <c r="I234" i="31" l="1"/>
  <c r="H31" i="22" l="1"/>
  <c r="R31" i="22"/>
  <c r="G2" i="20"/>
  <c r="Q2" i="20"/>
  <c r="V2" i="20"/>
  <c r="AB2" i="20"/>
  <c r="I233" i="31"/>
  <c r="I232" i="31"/>
  <c r="I231" i="31"/>
  <c r="I88" i="27"/>
  <c r="I230" i="31"/>
  <c r="I87" i="27" l="1"/>
  <c r="H15" i="17" l="1"/>
  <c r="R15" i="17"/>
  <c r="I133" i="31"/>
  <c r="I124" i="31"/>
  <c r="I86" i="27" l="1"/>
  <c r="I227" i="31"/>
  <c r="I85" i="27"/>
  <c r="I226" i="31"/>
  <c r="I225" i="31"/>
  <c r="I84" i="27"/>
  <c r="I208" i="31"/>
  <c r="I83" i="27" l="1"/>
  <c r="I82" i="27" l="1"/>
  <c r="I81" i="27"/>
  <c r="I80" i="27"/>
  <c r="I207" i="31"/>
  <c r="I206" i="31"/>
  <c r="I79" i="27"/>
  <c r="I78" i="27"/>
  <c r="I9" i="27"/>
  <c r="I77" i="27" l="1"/>
  <c r="I71" i="27"/>
  <c r="I201" i="31"/>
  <c r="I69" i="27"/>
  <c r="I70" i="31"/>
  <c r="H9" i="17"/>
  <c r="R9" i="17"/>
  <c r="I205" i="31" l="1"/>
  <c r="I204" i="31"/>
  <c r="I76" i="27"/>
  <c r="I75" i="27" l="1"/>
  <c r="I74" i="27"/>
  <c r="I73" i="27"/>
  <c r="I155" i="31" l="1"/>
  <c r="I159" i="31"/>
  <c r="I163" i="31"/>
  <c r="I179" i="31"/>
  <c r="H13" i="19"/>
  <c r="I55" i="27"/>
  <c r="I59" i="27"/>
  <c r="I68" i="27" l="1"/>
  <c r="H9" i="19" l="1"/>
  <c r="I67" i="27"/>
  <c r="I66" i="27" l="1"/>
  <c r="I65" i="27" l="1"/>
  <c r="I64" i="27" l="1"/>
  <c r="I63" i="27"/>
  <c r="I200" i="31"/>
  <c r="I199" i="31"/>
  <c r="I198" i="31"/>
  <c r="I111" i="31" l="1"/>
  <c r="I80" i="31"/>
  <c r="I105" i="31"/>
  <c r="I117" i="31"/>
  <c r="H9" i="22"/>
  <c r="R9" i="22"/>
  <c r="I62" i="27" l="1"/>
  <c r="I61" i="27"/>
  <c r="I54" i="27" l="1"/>
  <c r="I53" i="27"/>
  <c r="I154" i="31" l="1"/>
  <c r="I52" i="27" l="1"/>
  <c r="I153" i="31" l="1"/>
  <c r="I152" i="31"/>
  <c r="I51" i="27"/>
  <c r="I50" i="27"/>
  <c r="I151" i="31"/>
  <c r="I49" i="27"/>
  <c r="I48" i="27"/>
  <c r="I9" i="31" l="1"/>
  <c r="I38" i="27" l="1"/>
  <c r="I37" i="27"/>
  <c r="I36" i="27"/>
  <c r="I123" i="31" l="1"/>
  <c r="I35" i="27"/>
  <c r="I34" i="27"/>
  <c r="I33" i="27"/>
  <c r="I32" i="27"/>
  <c r="I31" i="27"/>
  <c r="I56" i="31"/>
  <c r="D13" i="21" l="1"/>
  <c r="R8" i="20" l="1"/>
  <c r="H8" i="20"/>
  <c r="R8" i="22"/>
  <c r="H8" i="22"/>
  <c r="I8" i="27" l="1"/>
  <c r="J9" i="21" l="1"/>
  <c r="J13" i="21"/>
  <c r="G13" i="21" l="1"/>
  <c r="J14" i="21"/>
  <c r="D14" i="21"/>
  <c r="D12" i="21"/>
  <c r="J12" i="21"/>
  <c r="D19" i="21"/>
  <c r="G14" i="21" l="1"/>
  <c r="M14" i="21" s="1"/>
  <c r="G12" i="21"/>
  <c r="H5" i="21" s="1"/>
  <c r="M13" i="21"/>
  <c r="J11" i="21"/>
  <c r="J10" i="21"/>
  <c r="J15" i="21" l="1"/>
  <c r="D10" i="21"/>
  <c r="R8" i="17" l="1"/>
  <c r="H8" i="17"/>
  <c r="D9" i="21" l="1"/>
  <c r="J17" i="21" l="1"/>
  <c r="M4" i="21"/>
  <c r="M5" i="21" s="1"/>
  <c r="G10" i="2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<sst xmlns="http://schemas.openxmlformats.org/spreadsheetml/2006/main" count="1266" uniqueCount="399">
  <si>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</si>
  <si>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</si>
  <si>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</si>
  <si>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</si>
  <si>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</si>
  <si>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</si>
  <si>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</si>
  <si>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</si>
  <si>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</si>
  <si>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</si>
  <si>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</si>
  <si>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</si>
  <si>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</si>
  <si>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</si>
  <si>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</si>
  <si>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</si>
  <si>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</si>
  <si>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</si>
  <si>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</si>
  <si>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</si>
  <si>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</si>
  <si>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</si>
  <si>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</si>
  <si>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</si>
  <si>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</si>
  <si>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</si>
  <si>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</si>
  <si>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</si>
  <si>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</si>
  <si>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</si>
  <si>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</si>
  <si>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</si>
  <si>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</si>
  <si>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</si>
  <si>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</si>
  <si>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</si>
  <si>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</si>
  <si>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</si>
  <si>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</si>
  <si>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</si>
  <si>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</si>
  <si>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</si>
  <si>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</si>
  <si>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</si>
  <si>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</si>
  <si>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</si>
  <si>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</si>
  <si>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</si>
  <si>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</si>
  <si>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</si>
  <si>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</si>
  <si>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</si>
  <si>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</si>
  <si>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</si>
  <si>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</si>
  <si>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</si>
  <si>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</si>
  <si>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</si>
  <si>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</si>
  <si>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</si>
  <si>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</si>
  <si>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</si>
  <si>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</si>
  <si>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</si>
  <si>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</si>
  <si>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</si>
  <si>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</si>
  <si>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</si>
  <si>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</si>
  <si>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</si>
  <si>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</si>
  <si>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</si>
  <si>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</si>
  <si>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</si>
  <si>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</si>
  <si>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</si>
  <si>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</si>
  <si>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</si>
  <si>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</si>
  <si>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</si>
  <si>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</si>
  <si>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</si>
  <si>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</si>
  <si>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</si>
  <si>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</si>
  <si>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</si>
  <si>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</si>
  <si>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</si>
  <si>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</si>
  <si>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</si>
  <si>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</si>
  <si>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</si>
  <si>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</si>
  <si>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</si>
  <si>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</si>
  <si>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</si>
  <si>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</si>
  <si>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</si>
  <si>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</si>
  <si>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</si>
  <si>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</si>
  <si>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</si>
  <si>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</si>
  <si>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</si>
  <si>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</si>
  <si>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</si>
  <si>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</si>
  <si>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</si>
  <si>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</si>
  <si>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</si>
  <si>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</si>
  <si>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</si>
  <si>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</si>
  <si>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</si>
  <si>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</si>
  <si>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</si>
  <si>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</si>
  <si>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</si>
  <si>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</si>
  <si>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</si>
  <si>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</si>
  <si>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</si>
  <si>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</si>
  <si>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</si>
  <si>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</si>
  <si>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</si>
  <si>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</si>
  <si>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</si>
  <si>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</si>
  <si>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</si>
  <si>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</si>
  <si>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</si>
  <si>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</si>
  <si>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</si>
  <si>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</si>
  <si>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</si>
  <si>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</si>
  <si>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</si>
  <si>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</si>
  <si>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</si>
  <si>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</si>
  <si>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</si>
  <si>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</si>
  <si>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</si>
  <si>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</si>
  <si>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</si>
  <si>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</si>
  <si>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</si>
  <si>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</si>
  <si>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</si>
  <si>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</si>
  <si>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</si>
  <si>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</si>
  <si>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</si>
  <si>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</si>
  <si>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</si>
  <si>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</si>
  <si>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</si>
  <si>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</si>
  <si>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235305769122</t>
  </si>
  <si>
    <t>ИП Барма</t>
  </si>
  <si>
    <t>ПАО "Ростелеком"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</si>
  <si>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</si>
  <si>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</si>
  <si>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</si>
  <si>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</si>
  <si>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</si>
  <si>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</si>
  <si>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</si>
  <si>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</si>
  <si>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</si>
  <si>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</si>
  <si>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</si>
  <si>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</si>
  <si>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</si>
  <si>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</si>
  <si>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</si>
  <si>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</si>
  <si>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</si>
  <si>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связи</t>
  </si>
  <si>
    <t>7707049388</t>
  </si>
  <si>
    <t>поставка товара</t>
  </si>
  <si>
    <t>23 32353014097235301001 0016 001 5629 244</t>
  </si>
  <si>
    <t>0818300019923000370</t>
  </si>
  <si>
    <t>Оказание услуг питания детей</t>
  </si>
  <si>
    <t>32353014097 23 000006</t>
  </si>
  <si>
    <t>2353020735</t>
  </si>
  <si>
    <t>ООО "Тимашевское ПРТ райпо"</t>
  </si>
  <si>
    <t>23 32353014097235301001 0017 002 8010 244</t>
  </si>
  <si>
    <t>0818300019923000374</t>
  </si>
  <si>
    <t>Услуги частной охраны (Выставление поста охраны)</t>
  </si>
  <si>
    <t>3235301409723000007</t>
  </si>
  <si>
    <t>Общество с ограниченной ответственностью Частная охранная организация "Легион"</t>
  </si>
  <si>
    <t>ООО "КТК"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</si>
  <si>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</si>
  <si>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ДГ24/68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</si>
  <si>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</si>
  <si>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</si>
  <si>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</si>
  <si>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</si>
  <si>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</si>
  <si>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</si>
  <si>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оказание услуг по организации питания 9/10,40</t>
  </si>
  <si>
    <t>33/24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</si>
  <si>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</si>
  <si>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оказание услуг по организации горячегопитания СВО</t>
  </si>
  <si>
    <t>23-01/2024-1</t>
  </si>
  <si>
    <t>ремонт автобуса</t>
  </si>
  <si>
    <t>235303782209</t>
  </si>
  <si>
    <t>ИП Пастухов</t>
  </si>
  <si>
    <t>шиномонтаж</t>
  </si>
  <si>
    <t>25-01/2024</t>
  </si>
  <si>
    <t>заправка картриджа и ремонт оргтехники</t>
  </si>
  <si>
    <t>231107998282</t>
  </si>
  <si>
    <t>23303348389</t>
  </si>
  <si>
    <t>ИП Тарануха</t>
  </si>
  <si>
    <t>Ремонт автобуса</t>
  </si>
  <si>
    <t>Образовательные услуги</t>
  </si>
  <si>
    <t>2310980339</t>
  </si>
  <si>
    <t>НЧОУ ДПО "Учебный центр "Персонал-Ресурс"</t>
  </si>
  <si>
    <t>925 0000 00000000000 244</t>
  </si>
  <si>
    <t>2024.065486</t>
  </si>
  <si>
    <t>ДГ24/238</t>
  </si>
  <si>
    <t>техническое сопровождение транспортного средства</t>
  </si>
  <si>
    <t>2369000660</t>
  </si>
  <si>
    <t>Поставка бензина АИ-92</t>
  </si>
  <si>
    <t>ООО "Альянс Розница"</t>
  </si>
  <si>
    <t>9/24</t>
  </si>
  <si>
    <t>дезинфекция</t>
  </si>
  <si>
    <t>ООО "Дезинфекция"</t>
  </si>
  <si>
    <t>80/24</t>
  </si>
  <si>
    <t>Услуги по идентификации АСН в ГАИС "ЭРА-ГЛОНАСС"</t>
  </si>
  <si>
    <t>7703383783</t>
  </si>
  <si>
    <t>АО "ГЛОНАСС"</t>
  </si>
  <si>
    <t>В течение7 рабочих дней с момента подписания Заказчиком и Подрадчиком акта приема-сдачи и предоставленного Подрядчиком документа на оплату</t>
  </si>
  <si>
    <t>2024.075027</t>
  </si>
  <si>
    <t>Панель светодиодная универсальная</t>
  </si>
  <si>
    <t>235002152355</t>
  </si>
  <si>
    <t>ИП Латышев</t>
  </si>
  <si>
    <t>А0099351</t>
  </si>
  <si>
    <t>Поставка учебной литературы</t>
  </si>
  <si>
    <t>АО "Издательство "Просвещение"</t>
  </si>
  <si>
    <t>до 30 июля 2024</t>
  </si>
  <si>
    <t>Поставка товара</t>
  </si>
  <si>
    <t>32</t>
  </si>
  <si>
    <t>2353018870</t>
  </si>
  <si>
    <t>оказание услуг по ремонту блока питания ПАК "Стрелец-Мониторинг"</t>
  </si>
  <si>
    <t>Дезинфекция лагерь</t>
  </si>
  <si>
    <t>6-24-2</t>
  </si>
  <si>
    <t>63-ЭО</t>
  </si>
  <si>
    <t>Отчетность по экологии</t>
  </si>
  <si>
    <t>235306110100</t>
  </si>
  <si>
    <t>ИП Казерова</t>
  </si>
  <si>
    <t>А0119133</t>
  </si>
  <si>
    <t>А0119134</t>
  </si>
  <si>
    <t>до 30.07.2024</t>
  </si>
  <si>
    <t>ООО "СпецБланк-Москва"</t>
  </si>
  <si>
    <t>7706526550</t>
  </si>
  <si>
    <t>аттестаты</t>
  </si>
  <si>
    <t>23-11470</t>
  </si>
  <si>
    <t>ИП Аполонов</t>
  </si>
  <si>
    <t>МБОУ СОШ № 6</t>
  </si>
  <si>
    <t>Поставка учебно-педагогической документации</t>
  </si>
  <si>
    <t>2310132554</t>
  </si>
  <si>
    <t>ООО "Краснодарский учколлектор"</t>
  </si>
  <si>
    <t>оказание услуг по организации питания учащихся</t>
  </si>
  <si>
    <t>К108911/24</t>
  </si>
  <si>
    <t>Предоставление права использования и абонентское обслуживание Системы "Контур.Экстерн"</t>
  </si>
  <si>
    <t>6663003127</t>
  </si>
  <si>
    <t>АО "ПФ "СКБ Контур"</t>
  </si>
  <si>
    <t>06/ПДУ/СМЭВ/5808</t>
  </si>
  <si>
    <t>Передача неисключительного права ПО</t>
  </si>
  <si>
    <t>2308065195</t>
  </si>
  <si>
    <t>ГУП КК "ЦИТ"</t>
  </si>
  <si>
    <t xml:space="preserve">30 % предоплата в течение 7 рабочих дней с даты выставления счета, 70 % в течение 7 рабочих дней с даты подписания акта. </t>
  </si>
  <si>
    <t>Предоставление сертификата</t>
  </si>
  <si>
    <t>06/СМЭВ/5807</t>
  </si>
  <si>
    <t>22-04/2024-1</t>
  </si>
  <si>
    <t>16-04/2024</t>
  </si>
  <si>
    <t>1 от 05.04.2024</t>
  </si>
  <si>
    <t>95</t>
  </si>
  <si>
    <t>Ванна моечная</t>
  </si>
  <si>
    <t>Бойлер накопительный электрический</t>
  </si>
  <si>
    <t>94</t>
  </si>
  <si>
    <t>140-ТО</t>
  </si>
  <si>
    <t>техосмотр автобуса</t>
  </si>
  <si>
    <t>06-05/2024-1</t>
  </si>
  <si>
    <t>5278/212</t>
  </si>
  <si>
    <t>подписка периодическрй печати</t>
  </si>
  <si>
    <t>7724490000</t>
  </si>
  <si>
    <t>АО "Почта России"</t>
  </si>
  <si>
    <t>20-05/2024</t>
  </si>
  <si>
    <t>АТ00-037556</t>
  </si>
  <si>
    <t>Право на использование программного обеспечения</t>
  </si>
  <si>
    <t>2311187588</t>
  </si>
  <si>
    <t>ООО "АйТи Мониторинг"</t>
  </si>
  <si>
    <t>02/05/24</t>
  </si>
  <si>
    <t>баннеры</t>
  </si>
  <si>
    <t>235303800426</t>
  </si>
  <si>
    <t>ИП Шашанков</t>
  </si>
  <si>
    <t>27-05/2024</t>
  </si>
  <si>
    <t>2024/6</t>
  </si>
  <si>
    <t>питание лагерь</t>
  </si>
  <si>
    <t>ИП Осипов</t>
  </si>
  <si>
    <t>621502803108</t>
  </si>
  <si>
    <t>хозтовары</t>
  </si>
  <si>
    <t>45</t>
  </si>
  <si>
    <t>1/2024/8</t>
  </si>
  <si>
    <t>экскурсии</t>
  </si>
  <si>
    <t>2310052884</t>
  </si>
  <si>
    <t>ГБУК КК "КГИАМЗ"</t>
  </si>
  <si>
    <t>0818300019924000189</t>
  </si>
  <si>
    <t>3235301409724000004</t>
  </si>
  <si>
    <t>24 32353014097235301001 0011 001 8010 244</t>
  </si>
  <si>
    <t>0818300019924000189-6</t>
  </si>
  <si>
    <t xml:space="preserve"> 0818300019924000193</t>
  </si>
  <si>
    <t xml:space="preserve"> 243235301409723530100100120015629244</t>
  </si>
  <si>
    <t xml:space="preserve"> 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</t>
  </si>
  <si>
    <t>32353014097 24 000005</t>
  </si>
  <si>
    <t>ОБЩЕСТВО С ОГРАНИЧЕННОЙ ОТВЕТСТВЕННОСТЬЮ "ТИМАШЕВСКОЕ ПРЕДПРИЯТИЕ РОЗНИЧНОЙ ТОРГОВЛИ РАЙПО"</t>
  </si>
  <si>
    <t xml:space="preserve"> 05.06.2024</t>
  </si>
  <si>
    <t>2024/1</t>
  </si>
  <si>
    <t>Установка перегородок</t>
  </si>
  <si>
    <t>2353021249</t>
  </si>
  <si>
    <t>ООО "Ремстройэнерго"</t>
  </si>
  <si>
    <t>2024/3</t>
  </si>
  <si>
    <t>Замена дверей на 2 этаже</t>
  </si>
  <si>
    <t>2024/2</t>
  </si>
  <si>
    <t>Замена дверей на 1 этаже</t>
  </si>
  <si>
    <t>Испытание и измерение электроустановок и электрооборудования</t>
  </si>
  <si>
    <t>034-ПН-24</t>
  </si>
  <si>
    <t>235302001163</t>
  </si>
  <si>
    <t>ИП Ромчук</t>
  </si>
  <si>
    <t>196</t>
  </si>
  <si>
    <t>199</t>
  </si>
  <si>
    <t>6-2024</t>
  </si>
  <si>
    <t>мебель</t>
  </si>
  <si>
    <t>235306300848</t>
  </si>
  <si>
    <t>Самозанятый гражданин Егорова В.П.</t>
  </si>
  <si>
    <t>Оказание экскурсионных услуг</t>
  </si>
  <si>
    <t>2353016418</t>
  </si>
  <si>
    <t>Приход храма</t>
  </si>
  <si>
    <t>545</t>
  </si>
  <si>
    <t>Лабораторные исследования воды</t>
  </si>
  <si>
    <t>2308105200</t>
  </si>
  <si>
    <t>Тимашевский филиал ФБУЗ "Центр гигиены и эпидемиологии в Краснодарском крае"</t>
  </si>
  <si>
    <t>бн</t>
  </si>
  <si>
    <t>Поверка приборов учета тепловой энергии</t>
  </si>
  <si>
    <t>6/2024</t>
  </si>
  <si>
    <t>то кнопки тревожной сигнализации</t>
  </si>
  <si>
    <t>Страхование гражданской ответственности</t>
  </si>
  <si>
    <t>7710026574</t>
  </si>
  <si>
    <t>Страховое акционерное общество "ВСК"</t>
  </si>
  <si>
    <t>самозанятый гражданин Егорова В.П.</t>
  </si>
  <si>
    <t>за мебель</t>
  </si>
  <si>
    <t>6/1-2024</t>
  </si>
  <si>
    <t>46</t>
  </si>
  <si>
    <t>за заборные секции</t>
  </si>
  <si>
    <t>234900743508</t>
  </si>
  <si>
    <t>ИП Трухляк</t>
  </si>
  <si>
    <t>30/Т</t>
  </si>
  <si>
    <t>За промывку и опрессовку системы центрального отопления</t>
  </si>
  <si>
    <t>2312314060</t>
  </si>
  <si>
    <t>ООО "Теплосервис"</t>
  </si>
  <si>
    <t>621</t>
  </si>
  <si>
    <t>ИП Музуров</t>
  </si>
  <si>
    <t>226/24</t>
  </si>
  <si>
    <t>514635947</t>
  </si>
  <si>
    <t>Неисключительные права использования баз данных</t>
  </si>
  <si>
    <t>7713754243</t>
  </si>
  <si>
    <t>ООО "М-пресс"</t>
  </si>
  <si>
    <t>Оказание услуг по организации питания</t>
  </si>
  <si>
    <t>624</t>
  </si>
  <si>
    <t>Ремонт перегородок</t>
  </si>
  <si>
    <t>278</t>
  </si>
  <si>
    <t>6/3-2024</t>
  </si>
  <si>
    <t>Поставка мебели</t>
  </si>
  <si>
    <t>93</t>
  </si>
  <si>
    <t>Охрана</t>
  </si>
  <si>
    <t>ООО ЧОО "Легион"</t>
  </si>
  <si>
    <t>714</t>
  </si>
  <si>
    <t>канцтовары</t>
  </si>
  <si>
    <t>233003348389</t>
  </si>
  <si>
    <t>2024.305376</t>
  </si>
  <si>
    <t>ДГ24/510</t>
  </si>
  <si>
    <t>151-1/24</t>
  </si>
  <si>
    <t>151/24</t>
  </si>
  <si>
    <t>медосмотр</t>
  </si>
  <si>
    <t>ГБУЗ "Тимашевская центральная районная больница"</t>
  </si>
  <si>
    <t>302</t>
  </si>
  <si>
    <t>243235301409723530100100130018010244</t>
  </si>
  <si>
    <t>0818300019924000262</t>
  </si>
  <si>
    <t xml:space="preserve"> Услуги частной охраны (Выставление поста охраны)</t>
  </si>
  <si>
    <t xml:space="preserve"> 32353014097 24 000006</t>
  </si>
  <si>
    <t xml:space="preserve"> 0818300019924000262</t>
  </si>
  <si>
    <t>2304067057</t>
  </si>
  <si>
    <t>ООО "ИДПО"</t>
  </si>
  <si>
    <t>2308279278</t>
  </si>
  <si>
    <t>565/2024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</si>
</sst>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8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0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>
      <alignment horizontal="center" vertical="center" wrapText="1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>
      <alignment horizontal="center" vertical="center" wrapText="1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0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>
      <alignment horizontal="center" vertical="center" wrapText="1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>
      <alignment horizontal="center" vertical="center" wrapText="1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1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6" fillId="18" borderId="67" xfId="0" applyFont="1" applyFill="1" applyBorder="1" applyAlignment="1" applyProtection="1">
      <alignment vertical="center"/>
      <protection locked="0"/>
    </xf>
    <xf numFmtId="0" fontId="16" fillId="18" borderId="68" xfId="0" applyFont="1" applyFill="1" applyBorder="1" applyAlignment="1" applyProtection="1">
      <alignment vertical="center"/>
      <protection locked="0"/>
    </xf>
    <xf numFmtId="0" fontId="16" fillId="18" borderId="69" xfId="0" applyFont="1" applyFill="1" applyBorder="1" applyAlignment="1" applyProtection="1">
      <alignment vertical="center"/>
      <protection locked="0"/>
    </xf>
    <xf numFmtId="0" fontId="17" fillId="18" borderId="67" xfId="0" applyFont="1" applyFill="1" applyBorder="1" applyAlignment="1" applyProtection="1">
      <alignment vertical="center" wrapText="1"/>
      <protection locked="0"/>
    </xf>
    <xf numFmtId="0" fontId="17" fillId="18" borderId="68" xfId="0" applyFont="1" applyFill="1" applyBorder="1" applyAlignment="1" applyProtection="1">
      <alignment vertical="center" wrapText="1"/>
      <protection locked="0"/>
    </xf>
    <xf numFmtId="0" fontId="17" fillId="18" borderId="69" xfId="0" applyFont="1" applyFill="1" applyBorder="1" applyAlignment="1" applyProtection="1">
      <alignment vertical="center" wrapText="1"/>
      <protection locked="0"/>
    </xf>
    <xf numFmtId="0" fontId="16" fillId="0" borderId="61" xfId="0" applyFont="1" applyBorder="1" applyAlignment="1" applyProtection="1">
      <alignment vertical="center"/>
      <protection locked="0"/>
    </xf>
    <xf numFmtId="0" fontId="16" fillId="0" borderId="62" xfId="0" applyFont="1" applyBorder="1" applyAlignment="1" applyProtection="1">
      <alignment vertical="center"/>
      <protection locked="0"/>
    </xf>
    <xf numFmtId="0" fontId="16" fillId="0" borderId="63" xfId="0" applyFont="1" applyBorder="1" applyAlignment="1" applyProtection="1">
      <alignment vertical="center"/>
      <protection locked="0"/>
    </xf>
    <xf numFmtId="0" fontId="17" fillId="4" borderId="61" xfId="0" applyFont="1" applyFill="1" applyBorder="1" applyAlignment="1" applyProtection="1">
      <alignment vertical="center" wrapText="1"/>
      <protection locked="0"/>
    </xf>
    <xf numFmtId="0" fontId="17" fillId="4" borderId="62" xfId="0" applyFont="1" applyFill="1" applyBorder="1" applyAlignment="1" applyProtection="1">
      <alignment vertical="center" wrapText="1"/>
      <protection locked="0"/>
    </xf>
    <xf numFmtId="0" fontId="17" fillId="4" borderId="63" xfId="0" applyFont="1" applyFill="1" applyBorder="1" applyAlignment="1" applyProtection="1">
      <alignment vertical="center" wrapText="1"/>
      <protection locked="0"/>
    </xf>
    <xf numFmtId="49" fontId="1" fillId="18" borderId="77" xfId="0" applyNumberFormat="1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>
      <alignment horizontal="center" vertical="center" wrapText="1"/>
    </xf>
    <xf numFmtId="49" fontId="1" fillId="18" borderId="83" xfId="0" applyNumberFormat="1" applyFont="1" applyFill="1" applyBorder="1" applyAlignment="1">
      <alignment horizontal="center" vertical="center" wrapText="1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8" borderId="84" xfId="0" applyNumberFormat="1" applyFont="1" applyFill="1" applyBorder="1" applyAlignment="1">
      <alignment horizontal="center" vertical="center" wrapText="1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78" xfId="0" applyFont="1" applyFill="1" applyBorder="1" applyAlignment="1" applyProtection="1">
      <alignment vertical="center"/>
      <protection locked="0"/>
    </xf>
    <xf numFmtId="0" fontId="16" fillId="18" borderId="81" xfId="0" applyFont="1" applyFill="1" applyBorder="1" applyAlignment="1" applyProtection="1">
      <alignment vertical="center"/>
      <protection locked="0"/>
    </xf>
    <xf numFmtId="0" fontId="16" fillId="18" borderId="84" xfId="0" applyFont="1" applyFill="1" applyBorder="1" applyAlignment="1" applyProtection="1">
      <alignment vertical="center"/>
      <protection locked="0"/>
    </xf>
    <xf numFmtId="0" fontId="17" fillId="18" borderId="78" xfId="0" applyFont="1" applyFill="1" applyBorder="1" applyAlignment="1" applyProtection="1">
      <alignment vertical="center" wrapText="1"/>
      <protection locked="0"/>
    </xf>
    <xf numFmtId="0" fontId="17" fillId="18" borderId="81" xfId="0" applyFont="1" applyFill="1" applyBorder="1" applyAlignment="1" applyProtection="1">
      <alignment vertical="center" wrapText="1"/>
      <protection locked="0"/>
    </xf>
    <xf numFmtId="0" fontId="17" fillId="18" borderId="84" xfId="0" applyFont="1" applyFill="1" applyBorder="1" applyAlignment="1" applyProtection="1">
      <alignment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6583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D10" sqref="D10:F10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479" t="s">
        <v>141</v>
      </c>
      <c r="B1" s="480"/>
      <c r="C1" s="480"/>
      <c r="D1" s="480"/>
      <c r="E1" s="479" t="s">
        <v>261</v>
      </c>
      <c r="F1" s="480"/>
      <c r="G1" s="480"/>
      <c r="H1" s="480"/>
      <c r="I1" s="480"/>
      <c r="J1" s="480"/>
      <c r="K1" s="480"/>
      <c r="L1" s="480"/>
      <c r="M1" s="480"/>
      <c r="N1" s="481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455" t="s">
        <v>25</v>
      </c>
      <c r="B4" s="456"/>
      <c r="C4" s="4">
        <v>12568856.869999999</v>
      </c>
      <c r="D4" s="5"/>
      <c r="E4" s="457" t="s">
        <v>140</v>
      </c>
      <c r="F4" s="458"/>
      <c r="G4" s="459"/>
      <c r="H4" s="460">
        <v>2000000</v>
      </c>
      <c r="I4" s="461"/>
      <c r="J4" s="462"/>
      <c r="K4" s="22"/>
      <c r="L4" s="99" t="s">
        <v>55</v>
      </c>
      <c r="M4" s="457">
        <f>C4-D9-D10-D12-D14</f>
        <v>5606668.5800000001</v>
      </c>
      <c r="N4" s="459"/>
    </row>
    <row r="5" spans="1:14" ht="30.75" customHeight="1" thickBot="1" x14ac:dyDescent="0.35">
      <c r="A5" s="455" t="s">
        <v>26</v>
      </c>
      <c r="B5" s="456"/>
      <c r="C5" s="6">
        <f>C4-G15+J15</f>
        <v>1604039.1199999994</v>
      </c>
      <c r="D5" s="5"/>
      <c r="E5" s="457" t="s">
        <v>53</v>
      </c>
      <c r="F5" s="458"/>
      <c r="G5" s="459"/>
      <c r="H5" s="447">
        <f>H4-G12+J12</f>
        <v>422607.56999999983</v>
      </c>
      <c r="I5" s="448"/>
      <c r="J5" s="449"/>
      <c r="K5" s="22"/>
      <c r="L5" s="99" t="s">
        <v>54</v>
      </c>
      <c r="M5" s="450">
        <f>M4-G13+J13</f>
        <v>1114572.5700000005</v>
      </c>
      <c r="N5" s="451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463" t="s">
        <v>27</v>
      </c>
      <c r="B8" s="464"/>
      <c r="C8" s="465"/>
      <c r="D8" s="463" t="s">
        <v>28</v>
      </c>
      <c r="E8" s="464"/>
      <c r="F8" s="465"/>
      <c r="G8" s="466" t="s">
        <v>29</v>
      </c>
      <c r="H8" s="467"/>
      <c r="I8" s="468"/>
      <c r="J8" s="466" t="s">
        <v>142</v>
      </c>
      <c r="K8" s="467"/>
      <c r="L8" s="468"/>
      <c r="M8" s="463" t="s">
        <v>30</v>
      </c>
      <c r="N8" s="465"/>
    </row>
    <row r="9" spans="1:14" ht="41.25" customHeight="1" thickBot="1" x14ac:dyDescent="0.35">
      <c r="A9" s="469" t="s">
        <v>31</v>
      </c>
      <c r="B9" s="470"/>
      <c r="C9" s="471"/>
      <c r="D9" s="472">
        <f>'Состоявшиеся аукционы'!G2</f>
        <v>2199589.56</v>
      </c>
      <c r="E9" s="472"/>
      <c r="F9" s="472"/>
      <c r="G9" s="472">
        <f>'Состоявшиеся аукционы'!Q2</f>
        <v>1722277.84</v>
      </c>
      <c r="H9" s="472"/>
      <c r="I9" s="472"/>
      <c r="J9" s="452">
        <f>'Состоявшиеся аукционы'!AB2</f>
        <v>0</v>
      </c>
      <c r="K9" s="454"/>
      <c r="L9" s="453"/>
      <c r="M9" s="472">
        <f t="shared" ref="M9:M15" si="0">D9-G9</f>
        <v>477311.72</v>
      </c>
      <c r="N9" s="472"/>
    </row>
    <row r="10" spans="1:14" ht="78.75" customHeight="1" thickBot="1" x14ac:dyDescent="0.35">
      <c r="A10" s="469" t="s">
        <v>49</v>
      </c>
      <c r="B10" s="470"/>
      <c r="C10" s="471"/>
      <c r="D10" s="472">
        <f>'Несостоявшиеся аукционы'!G2</f>
        <v>878669.45</v>
      </c>
      <c r="E10" s="472"/>
      <c r="F10" s="472"/>
      <c r="G10" s="472">
        <f>'Несостоявшиеся аукционы'!Q2</f>
        <v>878669.45</v>
      </c>
      <c r="H10" s="472"/>
      <c r="I10" s="472"/>
      <c r="J10" s="452">
        <f>'Несостоявшиеся аукционы'!AB2</f>
        <v>12154.83</v>
      </c>
      <c r="K10" s="454"/>
      <c r="L10" s="453"/>
      <c r="M10" s="472">
        <f t="shared" si="0"/>
        <v>0</v>
      </c>
      <c r="N10" s="472"/>
    </row>
    <row r="11" spans="1:14" ht="40.5" customHeight="1" thickBot="1" x14ac:dyDescent="0.35">
      <c r="A11" s="469" t="s">
        <v>83</v>
      </c>
      <c r="B11" s="470"/>
      <c r="C11" s="471"/>
      <c r="D11" s="452">
        <f>'Иные конкурентные закупки'!G2</f>
        <v>0</v>
      </c>
      <c r="E11" s="454"/>
      <c r="F11" s="453"/>
      <c r="G11" s="452">
        <f>'Иные конкурентные закупки'!Q2</f>
        <v>0</v>
      </c>
      <c r="H11" s="454"/>
      <c r="I11" s="453"/>
      <c r="J11" s="452">
        <f>'Иные конкурентные закупки'!AB2</f>
        <v>0</v>
      </c>
      <c r="K11" s="454"/>
      <c r="L11" s="453"/>
      <c r="M11" s="452">
        <f t="shared" si="0"/>
        <v>0</v>
      </c>
      <c r="N11" s="453"/>
    </row>
    <row r="12" spans="1:14" ht="54.75" customHeight="1" thickBot="1" x14ac:dyDescent="0.35">
      <c r="A12" s="476" t="s">
        <v>50</v>
      </c>
      <c r="B12" s="477"/>
      <c r="C12" s="478"/>
      <c r="D12" s="472">
        <f>'Ед. поставщик п.4 ч.1'!H2</f>
        <v>1577392.4300000002</v>
      </c>
      <c r="E12" s="472"/>
      <c r="F12" s="472"/>
      <c r="G12" s="472">
        <f>D12</f>
        <v>1577392.4300000002</v>
      </c>
      <c r="H12" s="472"/>
      <c r="I12" s="472"/>
      <c r="J12" s="452">
        <f>'Ед. поставщик п.4 ч.1'!V2</f>
        <v>0</v>
      </c>
      <c r="K12" s="454"/>
      <c r="L12" s="453"/>
      <c r="M12" s="472">
        <f t="shared" si="0"/>
        <v>0</v>
      </c>
      <c r="N12" s="472"/>
    </row>
    <row r="13" spans="1:14" ht="45.75" customHeight="1" thickBot="1" x14ac:dyDescent="0.35">
      <c r="A13" s="476" t="s">
        <v>51</v>
      </c>
      <c r="B13" s="477"/>
      <c r="C13" s="478"/>
      <c r="D13" s="472">
        <f>'Ед. поставщик п.5 ч.1'!H2</f>
        <v>4866248.5999999996</v>
      </c>
      <c r="E13" s="472"/>
      <c r="F13" s="472"/>
      <c r="G13" s="472">
        <f>D13</f>
        <v>4866248.5999999996</v>
      </c>
      <c r="H13" s="472"/>
      <c r="I13" s="472"/>
      <c r="J13" s="452">
        <f>'Ед. поставщик п.5 ч.1'!V2</f>
        <v>374152.59000000008</v>
      </c>
      <c r="K13" s="454"/>
      <c r="L13" s="453"/>
      <c r="M13" s="472">
        <f t="shared" si="0"/>
        <v>0</v>
      </c>
      <c r="N13" s="472"/>
    </row>
    <row r="14" spans="1:14" ht="45.75" customHeight="1" thickBot="1" x14ac:dyDescent="0.35">
      <c r="A14" s="494" t="s">
        <v>52</v>
      </c>
      <c r="B14" s="495"/>
      <c r="C14" s="496"/>
      <c r="D14" s="452">
        <f>'Ед.поставщик за искл. п.4,5 ч.1'!G2</f>
        <v>2306536.8499999996</v>
      </c>
      <c r="E14" s="454"/>
      <c r="F14" s="453"/>
      <c r="G14" s="452">
        <f>D14</f>
        <v>2306536.8499999996</v>
      </c>
      <c r="H14" s="454"/>
      <c r="I14" s="453"/>
      <c r="J14" s="452">
        <f>'Ед.поставщик за искл. п.4,5 ч.1'!T2</f>
        <v>0</v>
      </c>
      <c r="K14" s="454"/>
      <c r="L14" s="453"/>
      <c r="M14" s="472">
        <f t="shared" si="0"/>
        <v>0</v>
      </c>
      <c r="N14" s="472"/>
    </row>
    <row r="15" spans="1:14" ht="21.6" thickBot="1" x14ac:dyDescent="0.35">
      <c r="A15" s="473" t="s">
        <v>143</v>
      </c>
      <c r="B15" s="474"/>
      <c r="C15" s="475"/>
      <c r="D15" s="472">
        <f>SUM(D9:D14)</f>
        <v>11828436.889999999</v>
      </c>
      <c r="E15" s="472"/>
      <c r="F15" s="472"/>
      <c r="G15" s="452">
        <f>SUM(G9:G14)</f>
        <v>11351125.17</v>
      </c>
      <c r="H15" s="454"/>
      <c r="I15" s="453"/>
      <c r="J15" s="452">
        <f>SUM(J9:J14)</f>
        <v>386307.4200000001</v>
      </c>
      <c r="K15" s="454"/>
      <c r="L15" s="453"/>
      <c r="M15" s="472">
        <f t="shared" si="0"/>
        <v>477311.71999999881</v>
      </c>
      <c r="N15" s="472"/>
    </row>
    <row r="17" spans="1:12" x14ac:dyDescent="0.3">
      <c r="J17" s="146">
        <f>C4-D9-D10-D14</f>
        <v>7184061.0099999998</v>
      </c>
      <c r="K17" s="146"/>
      <c r="L17" s="146"/>
    </row>
    <row r="18" spans="1:12" ht="15" thickBot="1" x14ac:dyDescent="0.35">
      <c r="K18" s="146"/>
    </row>
    <row r="19" spans="1:12" ht="23.25" customHeight="1" x14ac:dyDescent="0.3">
      <c r="A19" s="482" t="s">
        <v>35</v>
      </c>
      <c r="B19" s="483"/>
      <c r="C19" s="484"/>
      <c r="D19" s="488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7956109.9699999997</v>
      </c>
      <c r="E19" s="489"/>
      <c r="F19" s="489"/>
      <c r="G19" s="490"/>
      <c r="I19" s="20"/>
      <c r="J19" s="20"/>
      <c r="K19" s="20"/>
      <c r="L19" s="20"/>
    </row>
    <row r="20" spans="1:12" ht="24" customHeight="1" thickBot="1" x14ac:dyDescent="0.35">
      <c r="A20" s="485"/>
      <c r="B20" s="486"/>
      <c r="C20" s="487"/>
      <c r="D20" s="491"/>
      <c r="E20" s="492"/>
      <c r="F20" s="492"/>
      <c r="G20" s="493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95"/>
  <sheetViews>
    <sheetView showGridLines="0" topLeftCell="H1" zoomScale="60" zoomScaleNormal="60" workbookViewId="0">
      <pane ySplit="8" topLeftCell="A84" activePane="bottomLeft" state="frozen"/>
      <selection activeCell="I1" sqref="I1"/>
      <selection pane="bottomLeft" activeCell="Q88" sqref="Q8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7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1577392.4300000002</v>
      </c>
      <c r="K2" s="569"/>
      <c r="L2" s="569"/>
      <c r="M2" s="569"/>
      <c r="N2" s="565" t="s">
        <v>137</v>
      </c>
      <c r="O2" s="567"/>
      <c r="P2" s="87">
        <f>SUM(P9:P9999)</f>
        <v>1560454.9600000002</v>
      </c>
      <c r="R2" s="86"/>
      <c r="S2" s="565" t="s">
        <v>45</v>
      </c>
      <c r="T2" s="566"/>
      <c r="U2" s="567"/>
      <c r="V2" s="88">
        <f>SUM(V9:V9999)</f>
        <v>0</v>
      </c>
    </row>
    <row r="3" spans="1:24" x14ac:dyDescent="0.3">
      <c r="A3" s="569"/>
      <c r="B3" s="569"/>
      <c r="C3" s="569"/>
      <c r="D3" s="569"/>
      <c r="E3" s="569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568"/>
      <c r="K4" s="568"/>
      <c r="M4" s="568"/>
      <c r="N4" s="568"/>
      <c r="O4" s="568"/>
      <c r="P4" s="568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6" customFormat="1" ht="144" customHeight="1" x14ac:dyDescent="0.3">
      <c r="A9" s="547">
        <v>1</v>
      </c>
      <c r="B9" s="556" t="s">
        <v>56</v>
      </c>
      <c r="C9" s="556" t="s">
        <v>146</v>
      </c>
      <c r="D9" s="556" t="s">
        <v>147</v>
      </c>
      <c r="E9" s="573">
        <v>34000962</v>
      </c>
      <c r="F9" s="550">
        <v>45289</v>
      </c>
      <c r="G9" s="556" t="s">
        <v>174</v>
      </c>
      <c r="H9" s="553">
        <v>27406.080000000002</v>
      </c>
      <c r="I9" s="576">
        <f>IF(X9 = 23, H9 + SUM(S9:S16) - SUM(T9:T16) - SUM(P9:P16) - V9,0)</f>
        <v>9135.36</v>
      </c>
      <c r="J9" s="556" t="s">
        <v>175</v>
      </c>
      <c r="K9" s="556" t="s">
        <v>176</v>
      </c>
      <c r="L9" s="556" t="s">
        <v>146</v>
      </c>
      <c r="M9" s="556"/>
      <c r="N9" s="355">
        <v>45322</v>
      </c>
      <c r="O9" s="550" t="s">
        <v>165</v>
      </c>
      <c r="P9" s="346">
        <v>2283.84</v>
      </c>
      <c r="Q9" s="347">
        <v>45336</v>
      </c>
      <c r="R9" s="348"/>
      <c r="S9" s="346"/>
      <c r="T9" s="346"/>
      <c r="U9" s="553"/>
      <c r="V9" s="559"/>
      <c r="W9" s="570"/>
      <c r="X9" s="106">
        <v>23</v>
      </c>
    </row>
    <row r="10" spans="1:24" s="150" customFormat="1" x14ac:dyDescent="0.3">
      <c r="A10" s="548"/>
      <c r="B10" s="557"/>
      <c r="C10" s="557"/>
      <c r="D10" s="557"/>
      <c r="E10" s="574"/>
      <c r="F10" s="551"/>
      <c r="G10" s="557"/>
      <c r="H10" s="554"/>
      <c r="I10" s="577"/>
      <c r="J10" s="557"/>
      <c r="K10" s="557"/>
      <c r="L10" s="557"/>
      <c r="M10" s="557"/>
      <c r="N10" s="356">
        <v>45351</v>
      </c>
      <c r="O10" s="551"/>
      <c r="P10" s="349">
        <v>2283.84</v>
      </c>
      <c r="Q10" s="350">
        <v>45351</v>
      </c>
      <c r="R10" s="351"/>
      <c r="S10" s="349"/>
      <c r="T10" s="349"/>
      <c r="U10" s="554"/>
      <c r="V10" s="560"/>
      <c r="W10" s="571"/>
      <c r="X10" s="150">
        <v>23</v>
      </c>
    </row>
    <row r="11" spans="1:24" s="204" customFormat="1" x14ac:dyDescent="0.3">
      <c r="A11" s="548"/>
      <c r="B11" s="557"/>
      <c r="C11" s="557"/>
      <c r="D11" s="557"/>
      <c r="E11" s="574"/>
      <c r="F11" s="551"/>
      <c r="G11" s="557"/>
      <c r="H11" s="554"/>
      <c r="I11" s="577"/>
      <c r="J11" s="557"/>
      <c r="K11" s="557"/>
      <c r="L11" s="557"/>
      <c r="M11" s="557"/>
      <c r="N11" s="356">
        <v>45382</v>
      </c>
      <c r="O11" s="551"/>
      <c r="P11" s="349">
        <v>2283.84</v>
      </c>
      <c r="Q11" s="350">
        <v>45383</v>
      </c>
      <c r="R11" s="351"/>
      <c r="S11" s="349"/>
      <c r="T11" s="349"/>
      <c r="U11" s="554"/>
      <c r="V11" s="560"/>
      <c r="W11" s="571"/>
      <c r="X11" s="204">
        <v>23</v>
      </c>
    </row>
    <row r="12" spans="1:24" s="267" customFormat="1" x14ac:dyDescent="0.3">
      <c r="A12" s="548"/>
      <c r="B12" s="557"/>
      <c r="C12" s="557"/>
      <c r="D12" s="557"/>
      <c r="E12" s="574"/>
      <c r="F12" s="551"/>
      <c r="G12" s="557"/>
      <c r="H12" s="554"/>
      <c r="I12" s="577"/>
      <c r="J12" s="557"/>
      <c r="K12" s="557"/>
      <c r="L12" s="557"/>
      <c r="M12" s="557"/>
      <c r="N12" s="356">
        <v>45409</v>
      </c>
      <c r="O12" s="551"/>
      <c r="P12" s="349">
        <v>2283.84</v>
      </c>
      <c r="Q12" s="350">
        <v>45419</v>
      </c>
      <c r="R12" s="351"/>
      <c r="S12" s="349"/>
      <c r="T12" s="349"/>
      <c r="U12" s="554"/>
      <c r="V12" s="560"/>
      <c r="W12" s="571"/>
      <c r="X12" s="267">
        <v>23</v>
      </c>
    </row>
    <row r="13" spans="1:24" s="267" customFormat="1" x14ac:dyDescent="0.3">
      <c r="A13" s="548"/>
      <c r="B13" s="557"/>
      <c r="C13" s="557"/>
      <c r="D13" s="557"/>
      <c r="E13" s="574"/>
      <c r="F13" s="551"/>
      <c r="G13" s="557"/>
      <c r="H13" s="554"/>
      <c r="I13" s="577"/>
      <c r="J13" s="557"/>
      <c r="K13" s="557"/>
      <c r="L13" s="557"/>
      <c r="M13" s="557"/>
      <c r="N13" s="356">
        <v>45443</v>
      </c>
      <c r="O13" s="551"/>
      <c r="P13" s="349">
        <v>2283.84</v>
      </c>
      <c r="Q13" s="350">
        <v>45443</v>
      </c>
      <c r="R13" s="351"/>
      <c r="S13" s="349"/>
      <c r="T13" s="349"/>
      <c r="U13" s="554"/>
      <c r="V13" s="560"/>
      <c r="W13" s="571"/>
      <c r="X13" s="267">
        <v>23</v>
      </c>
    </row>
    <row r="14" spans="1:24" s="316" customFormat="1" x14ac:dyDescent="0.3">
      <c r="A14" s="548"/>
      <c r="B14" s="557"/>
      <c r="C14" s="557"/>
      <c r="D14" s="557"/>
      <c r="E14" s="574"/>
      <c r="F14" s="551"/>
      <c r="G14" s="557"/>
      <c r="H14" s="554"/>
      <c r="I14" s="577"/>
      <c r="J14" s="557"/>
      <c r="K14" s="557"/>
      <c r="L14" s="557"/>
      <c r="M14" s="557"/>
      <c r="N14" s="356">
        <v>45471</v>
      </c>
      <c r="O14" s="551"/>
      <c r="P14" s="349">
        <v>2283.84</v>
      </c>
      <c r="Q14" s="350">
        <v>45475</v>
      </c>
      <c r="R14" s="351"/>
      <c r="S14" s="349"/>
      <c r="T14" s="349"/>
      <c r="U14" s="554"/>
      <c r="V14" s="560"/>
      <c r="W14" s="571"/>
      <c r="X14" s="316">
        <v>23</v>
      </c>
    </row>
    <row r="15" spans="1:24" s="316" customFormat="1" x14ac:dyDescent="0.3">
      <c r="A15" s="548"/>
      <c r="B15" s="557"/>
      <c r="C15" s="557"/>
      <c r="D15" s="557"/>
      <c r="E15" s="574"/>
      <c r="F15" s="551"/>
      <c r="G15" s="557"/>
      <c r="H15" s="554"/>
      <c r="I15" s="577"/>
      <c r="J15" s="557"/>
      <c r="K15" s="557"/>
      <c r="L15" s="557"/>
      <c r="M15" s="557"/>
      <c r="N15" s="356">
        <v>45504</v>
      </c>
      <c r="O15" s="551"/>
      <c r="P15" s="349">
        <v>2283.84</v>
      </c>
      <c r="Q15" s="350">
        <v>45504</v>
      </c>
      <c r="R15" s="351"/>
      <c r="S15" s="349"/>
      <c r="T15" s="349"/>
      <c r="U15" s="554"/>
      <c r="V15" s="560"/>
      <c r="W15" s="571"/>
      <c r="X15" s="316">
        <v>23</v>
      </c>
    </row>
    <row r="16" spans="1:24" s="322" customFormat="1" x14ac:dyDescent="0.3">
      <c r="A16" s="549"/>
      <c r="B16" s="558"/>
      <c r="C16" s="558"/>
      <c r="D16" s="558"/>
      <c r="E16" s="575"/>
      <c r="F16" s="552"/>
      <c r="G16" s="558"/>
      <c r="H16" s="555"/>
      <c r="I16" s="578"/>
      <c r="J16" s="558"/>
      <c r="K16" s="558"/>
      <c r="L16" s="558"/>
      <c r="M16" s="558"/>
      <c r="N16" s="357">
        <v>45534</v>
      </c>
      <c r="O16" s="552"/>
      <c r="P16" s="352">
        <v>2283.84</v>
      </c>
      <c r="Q16" s="353">
        <v>45534</v>
      </c>
      <c r="R16" s="354"/>
      <c r="S16" s="352"/>
      <c r="T16" s="352"/>
      <c r="U16" s="555"/>
      <c r="V16" s="561"/>
      <c r="W16" s="572"/>
      <c r="X16" s="322">
        <v>23</v>
      </c>
    </row>
    <row r="17" spans="1:24" s="106" customFormat="1" ht="144" customHeight="1" x14ac:dyDescent="0.3">
      <c r="A17" s="497">
        <v>2</v>
      </c>
      <c r="B17" s="506" t="s">
        <v>56</v>
      </c>
      <c r="C17" s="506" t="s">
        <v>146</v>
      </c>
      <c r="D17" s="506" t="s">
        <v>147</v>
      </c>
      <c r="E17" s="582">
        <v>166</v>
      </c>
      <c r="F17" s="500">
        <v>45279</v>
      </c>
      <c r="G17" s="506" t="s">
        <v>179</v>
      </c>
      <c r="H17" s="503">
        <v>15632.19</v>
      </c>
      <c r="I17" s="579">
        <f>IF(X17 = 24, H17 + SUM(S17:S30) - SUM(T17:T30) - SUM(P17:P30) - V17,0)</f>
        <v>4514.1099999999969</v>
      </c>
      <c r="J17" s="506" t="s">
        <v>180</v>
      </c>
      <c r="K17" s="506" t="s">
        <v>161</v>
      </c>
      <c r="L17" s="506" t="s">
        <v>146</v>
      </c>
      <c r="M17" s="506"/>
      <c r="N17" s="434">
        <v>45322</v>
      </c>
      <c r="O17" s="500" t="s">
        <v>165</v>
      </c>
      <c r="P17" s="425">
        <v>1075.75</v>
      </c>
      <c r="Q17" s="426">
        <v>45330</v>
      </c>
      <c r="R17" s="427"/>
      <c r="S17" s="425"/>
      <c r="T17" s="425"/>
      <c r="U17" s="503"/>
      <c r="V17" s="509"/>
      <c r="W17" s="512"/>
      <c r="X17" s="106">
        <v>24</v>
      </c>
    </row>
    <row r="18" spans="1:24" s="179" customFormat="1" x14ac:dyDescent="0.3">
      <c r="A18" s="498"/>
      <c r="B18" s="507"/>
      <c r="C18" s="507"/>
      <c r="D18" s="507"/>
      <c r="E18" s="583"/>
      <c r="F18" s="501"/>
      <c r="G18" s="507"/>
      <c r="H18" s="504"/>
      <c r="I18" s="580"/>
      <c r="J18" s="507"/>
      <c r="K18" s="507"/>
      <c r="L18" s="507"/>
      <c r="M18" s="507"/>
      <c r="N18" s="435">
        <v>45351</v>
      </c>
      <c r="O18" s="501"/>
      <c r="P18" s="428">
        <v>1175.5</v>
      </c>
      <c r="Q18" s="429">
        <v>45363</v>
      </c>
      <c r="R18" s="430"/>
      <c r="S18" s="428"/>
      <c r="T18" s="428"/>
      <c r="U18" s="504"/>
      <c r="V18" s="510"/>
      <c r="W18" s="513"/>
      <c r="X18" s="179">
        <v>24</v>
      </c>
    </row>
    <row r="19" spans="1:24" s="179" customFormat="1" x14ac:dyDescent="0.3">
      <c r="A19" s="498"/>
      <c r="B19" s="507"/>
      <c r="C19" s="507"/>
      <c r="D19" s="507"/>
      <c r="E19" s="583"/>
      <c r="F19" s="501"/>
      <c r="G19" s="507"/>
      <c r="H19" s="504"/>
      <c r="I19" s="580"/>
      <c r="J19" s="507"/>
      <c r="K19" s="507"/>
      <c r="L19" s="507"/>
      <c r="M19" s="507"/>
      <c r="N19" s="435">
        <v>45351</v>
      </c>
      <c r="O19" s="501"/>
      <c r="P19" s="428">
        <v>87</v>
      </c>
      <c r="Q19" s="429">
        <v>45363</v>
      </c>
      <c r="R19" s="430"/>
      <c r="S19" s="428"/>
      <c r="T19" s="428"/>
      <c r="U19" s="504"/>
      <c r="V19" s="510"/>
      <c r="W19" s="513"/>
      <c r="X19" s="179">
        <v>24</v>
      </c>
    </row>
    <row r="20" spans="1:24" s="204" customFormat="1" x14ac:dyDescent="0.3">
      <c r="A20" s="498"/>
      <c r="B20" s="507"/>
      <c r="C20" s="507"/>
      <c r="D20" s="507"/>
      <c r="E20" s="583"/>
      <c r="F20" s="501"/>
      <c r="G20" s="507"/>
      <c r="H20" s="504"/>
      <c r="I20" s="580"/>
      <c r="J20" s="507"/>
      <c r="K20" s="507"/>
      <c r="L20" s="507"/>
      <c r="M20" s="507"/>
      <c r="N20" s="435">
        <v>45382</v>
      </c>
      <c r="O20" s="501"/>
      <c r="P20" s="428">
        <v>1277.6600000000001</v>
      </c>
      <c r="Q20" s="429">
        <v>45386</v>
      </c>
      <c r="R20" s="430"/>
      <c r="S20" s="428"/>
      <c r="T20" s="428"/>
      <c r="U20" s="504"/>
      <c r="V20" s="510"/>
      <c r="W20" s="513"/>
      <c r="X20" s="204">
        <v>24</v>
      </c>
    </row>
    <row r="21" spans="1:24" s="267" customFormat="1" x14ac:dyDescent="0.3">
      <c r="A21" s="498"/>
      <c r="B21" s="507"/>
      <c r="C21" s="507"/>
      <c r="D21" s="507"/>
      <c r="E21" s="583"/>
      <c r="F21" s="501"/>
      <c r="G21" s="507"/>
      <c r="H21" s="504"/>
      <c r="I21" s="580"/>
      <c r="J21" s="507"/>
      <c r="K21" s="507"/>
      <c r="L21" s="507"/>
      <c r="M21" s="507"/>
      <c r="N21" s="435">
        <v>45412</v>
      </c>
      <c r="O21" s="501"/>
      <c r="P21" s="428">
        <v>1149.5899999999999</v>
      </c>
      <c r="Q21" s="429">
        <v>45419</v>
      </c>
      <c r="R21" s="430"/>
      <c r="S21" s="428"/>
      <c r="T21" s="428"/>
      <c r="U21" s="504"/>
      <c r="V21" s="510"/>
      <c r="W21" s="513"/>
      <c r="X21" s="267">
        <v>24</v>
      </c>
    </row>
    <row r="22" spans="1:24" s="267" customFormat="1" x14ac:dyDescent="0.3">
      <c r="A22" s="498"/>
      <c r="B22" s="507"/>
      <c r="C22" s="507"/>
      <c r="D22" s="507"/>
      <c r="E22" s="583"/>
      <c r="F22" s="501"/>
      <c r="G22" s="507"/>
      <c r="H22" s="504"/>
      <c r="I22" s="580"/>
      <c r="J22" s="507"/>
      <c r="K22" s="507"/>
      <c r="L22" s="507"/>
      <c r="M22" s="507"/>
      <c r="N22" s="435">
        <v>45412</v>
      </c>
      <c r="O22" s="501"/>
      <c r="P22" s="428">
        <v>31.68</v>
      </c>
      <c r="Q22" s="429">
        <v>45419</v>
      </c>
      <c r="R22" s="430"/>
      <c r="S22" s="428"/>
      <c r="T22" s="428"/>
      <c r="U22" s="504"/>
      <c r="V22" s="510"/>
      <c r="W22" s="513"/>
      <c r="X22" s="267">
        <v>24</v>
      </c>
    </row>
    <row r="23" spans="1:24" s="280" customFormat="1" x14ac:dyDescent="0.3">
      <c r="A23" s="498"/>
      <c r="B23" s="507"/>
      <c r="C23" s="507"/>
      <c r="D23" s="507"/>
      <c r="E23" s="583"/>
      <c r="F23" s="501"/>
      <c r="G23" s="507"/>
      <c r="H23" s="504"/>
      <c r="I23" s="580"/>
      <c r="J23" s="507"/>
      <c r="K23" s="507"/>
      <c r="L23" s="507"/>
      <c r="M23" s="507"/>
      <c r="N23" s="435">
        <v>45443</v>
      </c>
      <c r="O23" s="501"/>
      <c r="P23" s="428">
        <v>1192.24</v>
      </c>
      <c r="Q23" s="429">
        <v>45454</v>
      </c>
      <c r="R23" s="430"/>
      <c r="S23" s="428"/>
      <c r="T23" s="428"/>
      <c r="U23" s="504"/>
      <c r="V23" s="510"/>
      <c r="W23" s="513"/>
      <c r="X23" s="280">
        <v>24</v>
      </c>
    </row>
    <row r="24" spans="1:24" s="280" customFormat="1" x14ac:dyDescent="0.3">
      <c r="A24" s="498"/>
      <c r="B24" s="507"/>
      <c r="C24" s="507"/>
      <c r="D24" s="507"/>
      <c r="E24" s="583"/>
      <c r="F24" s="501"/>
      <c r="G24" s="507"/>
      <c r="H24" s="504"/>
      <c r="I24" s="580"/>
      <c r="J24" s="507"/>
      <c r="K24" s="507"/>
      <c r="L24" s="507"/>
      <c r="M24" s="507"/>
      <c r="N24" s="435">
        <v>45473</v>
      </c>
      <c r="O24" s="501"/>
      <c r="P24" s="428">
        <v>1352.94</v>
      </c>
      <c r="Q24" s="429">
        <v>45481</v>
      </c>
      <c r="R24" s="430"/>
      <c r="S24" s="428"/>
      <c r="T24" s="428"/>
      <c r="U24" s="504"/>
      <c r="V24" s="510"/>
      <c r="W24" s="513"/>
      <c r="X24" s="280">
        <v>24</v>
      </c>
    </row>
    <row r="25" spans="1:24" s="322" customFormat="1" x14ac:dyDescent="0.3">
      <c r="A25" s="498"/>
      <c r="B25" s="507"/>
      <c r="C25" s="507"/>
      <c r="D25" s="507"/>
      <c r="E25" s="583"/>
      <c r="F25" s="501"/>
      <c r="G25" s="507"/>
      <c r="H25" s="504"/>
      <c r="I25" s="580"/>
      <c r="J25" s="507"/>
      <c r="K25" s="507"/>
      <c r="L25" s="507"/>
      <c r="M25" s="507"/>
      <c r="N25" s="435">
        <v>45504</v>
      </c>
      <c r="O25" s="501"/>
      <c r="P25" s="428">
        <v>143.93</v>
      </c>
      <c r="Q25" s="429">
        <v>45512</v>
      </c>
      <c r="R25" s="430"/>
      <c r="S25" s="428"/>
      <c r="T25" s="428"/>
      <c r="U25" s="504"/>
      <c r="V25" s="510"/>
      <c r="W25" s="513"/>
      <c r="X25" s="322">
        <v>24</v>
      </c>
    </row>
    <row r="26" spans="1:24" s="322" customFormat="1" x14ac:dyDescent="0.3">
      <c r="A26" s="498"/>
      <c r="B26" s="507"/>
      <c r="C26" s="507"/>
      <c r="D26" s="507"/>
      <c r="E26" s="583"/>
      <c r="F26" s="501"/>
      <c r="G26" s="507"/>
      <c r="H26" s="504"/>
      <c r="I26" s="580"/>
      <c r="J26" s="507"/>
      <c r="K26" s="507"/>
      <c r="L26" s="507"/>
      <c r="M26" s="507"/>
      <c r="N26" s="435">
        <v>45504</v>
      </c>
      <c r="O26" s="501"/>
      <c r="P26" s="428">
        <v>1237.49</v>
      </c>
      <c r="Q26" s="429">
        <v>45512</v>
      </c>
      <c r="R26" s="430"/>
      <c r="S26" s="428"/>
      <c r="T26" s="428"/>
      <c r="U26" s="504"/>
      <c r="V26" s="510"/>
      <c r="W26" s="513"/>
      <c r="X26" s="322">
        <v>24</v>
      </c>
    </row>
    <row r="27" spans="1:24" s="370" customFormat="1" x14ac:dyDescent="0.3">
      <c r="A27" s="498"/>
      <c r="B27" s="507"/>
      <c r="C27" s="507"/>
      <c r="D27" s="507"/>
      <c r="E27" s="583"/>
      <c r="F27" s="501"/>
      <c r="G27" s="507"/>
      <c r="H27" s="504"/>
      <c r="I27" s="580"/>
      <c r="J27" s="507"/>
      <c r="K27" s="507"/>
      <c r="L27" s="507"/>
      <c r="M27" s="507"/>
      <c r="N27" s="435">
        <v>45535</v>
      </c>
      <c r="O27" s="501"/>
      <c r="P27" s="428">
        <v>1085.21</v>
      </c>
      <c r="Q27" s="429">
        <v>45540</v>
      </c>
      <c r="R27" s="430"/>
      <c r="S27" s="428"/>
      <c r="T27" s="428"/>
      <c r="U27" s="504"/>
      <c r="V27" s="510"/>
      <c r="W27" s="513"/>
      <c r="X27" s="370">
        <v>24</v>
      </c>
    </row>
    <row r="28" spans="1:24" s="370" customFormat="1" x14ac:dyDescent="0.3">
      <c r="A28" s="498"/>
      <c r="B28" s="507"/>
      <c r="C28" s="507"/>
      <c r="D28" s="507"/>
      <c r="E28" s="583"/>
      <c r="F28" s="501"/>
      <c r="G28" s="507"/>
      <c r="H28" s="504"/>
      <c r="I28" s="580"/>
      <c r="J28" s="507"/>
      <c r="K28" s="507"/>
      <c r="L28" s="507"/>
      <c r="M28" s="507"/>
      <c r="N28" s="435">
        <v>45535</v>
      </c>
      <c r="O28" s="501"/>
      <c r="P28" s="428">
        <v>31.03</v>
      </c>
      <c r="Q28" s="429">
        <v>45540</v>
      </c>
      <c r="R28" s="430"/>
      <c r="S28" s="428"/>
      <c r="T28" s="428"/>
      <c r="U28" s="504"/>
      <c r="V28" s="510"/>
      <c r="W28" s="513"/>
      <c r="X28" s="370">
        <v>24</v>
      </c>
    </row>
    <row r="29" spans="1:24" s="402" customFormat="1" x14ac:dyDescent="0.3">
      <c r="A29" s="498"/>
      <c r="B29" s="507"/>
      <c r="C29" s="507"/>
      <c r="D29" s="507"/>
      <c r="E29" s="583"/>
      <c r="F29" s="501"/>
      <c r="G29" s="507"/>
      <c r="H29" s="504"/>
      <c r="I29" s="580"/>
      <c r="J29" s="507"/>
      <c r="K29" s="507"/>
      <c r="L29" s="507"/>
      <c r="M29" s="507"/>
      <c r="N29" s="435">
        <v>45565</v>
      </c>
      <c r="O29" s="501"/>
      <c r="P29" s="428">
        <v>1111.02</v>
      </c>
      <c r="Q29" s="429">
        <v>45569</v>
      </c>
      <c r="R29" s="430"/>
      <c r="S29" s="428"/>
      <c r="T29" s="428"/>
      <c r="U29" s="504"/>
      <c r="V29" s="510"/>
      <c r="W29" s="513"/>
      <c r="X29" s="402">
        <v>24</v>
      </c>
    </row>
    <row r="30" spans="1:24" s="402" customFormat="1" x14ac:dyDescent="0.3">
      <c r="A30" s="499"/>
      <c r="B30" s="508"/>
      <c r="C30" s="508"/>
      <c r="D30" s="508"/>
      <c r="E30" s="584"/>
      <c r="F30" s="502"/>
      <c r="G30" s="508"/>
      <c r="H30" s="505"/>
      <c r="I30" s="581"/>
      <c r="J30" s="508"/>
      <c r="K30" s="508"/>
      <c r="L30" s="508"/>
      <c r="M30" s="508"/>
      <c r="N30" s="436">
        <v>45565</v>
      </c>
      <c r="O30" s="502"/>
      <c r="P30" s="431">
        <v>167.04</v>
      </c>
      <c r="Q30" s="432">
        <v>45569</v>
      </c>
      <c r="R30" s="433"/>
      <c r="S30" s="431"/>
      <c r="T30" s="431"/>
      <c r="U30" s="505"/>
      <c r="V30" s="511"/>
      <c r="W30" s="514"/>
      <c r="X30" s="402">
        <v>24</v>
      </c>
    </row>
    <row r="31" spans="1:24" s="106" customFormat="1" ht="144" x14ac:dyDescent="0.3">
      <c r="A31" s="110">
        <v>3</v>
      </c>
      <c r="B31" s="111" t="s">
        <v>56</v>
      </c>
      <c r="C31" s="111" t="s">
        <v>146</v>
      </c>
      <c r="D31" s="111" t="s">
        <v>147</v>
      </c>
      <c r="E31" s="112" t="s">
        <v>206</v>
      </c>
      <c r="F31" s="119">
        <v>45314</v>
      </c>
      <c r="G31" s="111" t="s">
        <v>207</v>
      </c>
      <c r="H31" s="113">
        <v>8200</v>
      </c>
      <c r="I31" s="114">
        <f>IF(X31 = 26, H31 + SUM(S31:S31) - SUM(T31:T31) - SUM(P31:P31) - V31,0)</f>
        <v>0</v>
      </c>
      <c r="J31" s="111" t="s">
        <v>208</v>
      </c>
      <c r="K31" s="111" t="s">
        <v>209</v>
      </c>
      <c r="L31" s="111" t="s">
        <v>146</v>
      </c>
      <c r="M31" s="111"/>
      <c r="N31" s="119"/>
      <c r="O31" s="119" t="s">
        <v>194</v>
      </c>
      <c r="P31" s="113">
        <v>8200</v>
      </c>
      <c r="Q31" s="112">
        <v>45315</v>
      </c>
      <c r="R31" s="111"/>
      <c r="S31" s="113"/>
      <c r="T31" s="113"/>
      <c r="U31" s="113"/>
      <c r="V31" s="128"/>
      <c r="W31" s="118"/>
      <c r="X31" s="106">
        <v>26</v>
      </c>
    </row>
    <row r="32" spans="1:24" s="106" customFormat="1" ht="18" customHeight="1" x14ac:dyDescent="0.3">
      <c r="A32" s="135">
        <v>4</v>
      </c>
      <c r="B32" s="130" t="s">
        <v>56</v>
      </c>
      <c r="C32" s="130" t="s">
        <v>146</v>
      </c>
      <c r="D32" s="130" t="s">
        <v>147</v>
      </c>
      <c r="E32" s="145">
        <v>42</v>
      </c>
      <c r="F32" s="131">
        <v>45316</v>
      </c>
      <c r="G32" s="130" t="s">
        <v>210</v>
      </c>
      <c r="H32" s="132">
        <v>1400</v>
      </c>
      <c r="I32" s="136">
        <f>IF(X32 = 29, H32 + SUM(S32:S32) - SUM(T32:T32) - SUM(P32:P32) - V32,0)</f>
        <v>0</v>
      </c>
      <c r="J32" s="130" t="s">
        <v>159</v>
      </c>
      <c r="K32" s="130" t="s">
        <v>160</v>
      </c>
      <c r="L32" s="130" t="s">
        <v>146</v>
      </c>
      <c r="M32" s="130"/>
      <c r="N32" s="120"/>
      <c r="O32" s="131" t="s">
        <v>194</v>
      </c>
      <c r="P32" s="121">
        <v>1400</v>
      </c>
      <c r="Q32" s="122">
        <v>45322</v>
      </c>
      <c r="R32" s="123"/>
      <c r="S32" s="121"/>
      <c r="T32" s="121"/>
      <c r="U32" s="132"/>
      <c r="V32" s="133"/>
      <c r="W32" s="134"/>
      <c r="X32" s="106">
        <v>29</v>
      </c>
    </row>
    <row r="33" spans="1:24" s="106" customFormat="1" ht="144" x14ac:dyDescent="0.3">
      <c r="A33" s="110">
        <v>5</v>
      </c>
      <c r="B33" s="111" t="s">
        <v>56</v>
      </c>
      <c r="C33" s="111" t="s">
        <v>146</v>
      </c>
      <c r="D33" s="111" t="s">
        <v>147</v>
      </c>
      <c r="E33" s="129">
        <v>43</v>
      </c>
      <c r="F33" s="119">
        <v>45316</v>
      </c>
      <c r="G33" s="130" t="s">
        <v>210</v>
      </c>
      <c r="H33" s="132">
        <v>1400</v>
      </c>
      <c r="I33" s="114">
        <f>IF(X33 = 30, H33 + SUM(S33:S33) - SUM(T33:T33) - SUM(P33:P33) - V33,0)</f>
        <v>0</v>
      </c>
      <c r="J33" s="130" t="s">
        <v>159</v>
      </c>
      <c r="K33" s="130" t="s">
        <v>160</v>
      </c>
      <c r="L33" s="111" t="s">
        <v>146</v>
      </c>
      <c r="M33" s="111"/>
      <c r="N33" s="119"/>
      <c r="O33" s="119" t="s">
        <v>194</v>
      </c>
      <c r="P33" s="113">
        <v>1400</v>
      </c>
      <c r="Q33" s="112">
        <v>45322</v>
      </c>
      <c r="R33" s="111"/>
      <c r="S33" s="113"/>
      <c r="T33" s="113"/>
      <c r="U33" s="113"/>
      <c r="V33" s="128"/>
      <c r="W33" s="118"/>
      <c r="X33" s="106">
        <v>30</v>
      </c>
    </row>
    <row r="34" spans="1:24" s="106" customFormat="1" ht="144" x14ac:dyDescent="0.3">
      <c r="A34" s="110">
        <v>6</v>
      </c>
      <c r="B34" s="111" t="s">
        <v>56</v>
      </c>
      <c r="C34" s="111" t="s">
        <v>146</v>
      </c>
      <c r="D34" s="111" t="s">
        <v>147</v>
      </c>
      <c r="E34" s="129">
        <v>11</v>
      </c>
      <c r="F34" s="119">
        <v>45321</v>
      </c>
      <c r="G34" s="111" t="s">
        <v>212</v>
      </c>
      <c r="H34" s="113">
        <v>14450</v>
      </c>
      <c r="I34" s="114">
        <f>IF(X34 = 31, H34 + SUM(S34:S34) - SUM(T34:T34) - SUM(P34:P34) - V34,0)</f>
        <v>0</v>
      </c>
      <c r="J34" s="111" t="s">
        <v>213</v>
      </c>
      <c r="K34" s="111" t="s">
        <v>199</v>
      </c>
      <c r="L34" s="111" t="s">
        <v>146</v>
      </c>
      <c r="M34" s="111"/>
      <c r="N34" s="119"/>
      <c r="O34" s="119" t="s">
        <v>194</v>
      </c>
      <c r="P34" s="113">
        <v>14450</v>
      </c>
      <c r="Q34" s="112">
        <v>45322</v>
      </c>
      <c r="R34" s="111"/>
      <c r="S34" s="113"/>
      <c r="T34" s="113"/>
      <c r="U34" s="113"/>
      <c r="V34" s="128"/>
      <c r="W34" s="118"/>
      <c r="X34" s="106">
        <v>31</v>
      </c>
    </row>
    <row r="35" spans="1:24" s="106" customFormat="1" ht="144" x14ac:dyDescent="0.3">
      <c r="A35" s="110">
        <v>7</v>
      </c>
      <c r="B35" s="111" t="s">
        <v>56</v>
      </c>
      <c r="C35" s="111" t="s">
        <v>163</v>
      </c>
      <c r="D35" s="111" t="s">
        <v>147</v>
      </c>
      <c r="E35" s="129">
        <v>10</v>
      </c>
      <c r="F35" s="119">
        <v>45327</v>
      </c>
      <c r="G35" s="111" t="s">
        <v>59</v>
      </c>
      <c r="H35" s="113">
        <v>14400</v>
      </c>
      <c r="I35" s="114">
        <f>IF(X35 = 32, H35 + SUM(S35:S35) - SUM(T35:T35) - SUM(P35:P35) - V35,0)</f>
        <v>0</v>
      </c>
      <c r="J35" s="111" t="s">
        <v>214</v>
      </c>
      <c r="K35" s="111" t="s">
        <v>215</v>
      </c>
      <c r="L35" s="111" t="s">
        <v>146</v>
      </c>
      <c r="M35" s="111"/>
      <c r="N35" s="119"/>
      <c r="O35" s="119" t="s">
        <v>194</v>
      </c>
      <c r="P35" s="113">
        <v>14400</v>
      </c>
      <c r="Q35" s="112">
        <v>45334</v>
      </c>
      <c r="R35" s="111"/>
      <c r="S35" s="113"/>
      <c r="T35" s="113"/>
      <c r="U35" s="113"/>
      <c r="V35" s="128"/>
      <c r="W35" s="118"/>
      <c r="X35" s="106">
        <v>32</v>
      </c>
    </row>
    <row r="36" spans="1:24" s="106" customFormat="1" ht="144" x14ac:dyDescent="0.3">
      <c r="A36" s="137">
        <v>8</v>
      </c>
      <c r="B36" s="138" t="s">
        <v>56</v>
      </c>
      <c r="C36" s="138" t="s">
        <v>146</v>
      </c>
      <c r="D36" s="138" t="s">
        <v>147</v>
      </c>
      <c r="E36" s="143">
        <v>45336</v>
      </c>
      <c r="F36" s="149">
        <v>45336</v>
      </c>
      <c r="G36" s="138" t="s">
        <v>216</v>
      </c>
      <c r="H36" s="139">
        <v>6000</v>
      </c>
      <c r="I36" s="140">
        <f>IF(X36 = 33, H36 + SUM(S36:S36) - SUM(T36:T36) - SUM(P36:P36) - V36,0)</f>
        <v>0</v>
      </c>
      <c r="J36" s="138" t="s">
        <v>208</v>
      </c>
      <c r="K36" s="138" t="s">
        <v>209</v>
      </c>
      <c r="L36" s="138" t="s">
        <v>146</v>
      </c>
      <c r="M36" s="138"/>
      <c r="N36" s="149"/>
      <c r="O36" s="149" t="s">
        <v>194</v>
      </c>
      <c r="P36" s="139">
        <v>6000</v>
      </c>
      <c r="Q36" s="142">
        <v>45348</v>
      </c>
      <c r="R36" s="138"/>
      <c r="S36" s="139"/>
      <c r="T36" s="139"/>
      <c r="U36" s="139"/>
      <c r="V36" s="148"/>
      <c r="W36" s="141"/>
      <c r="X36" s="106">
        <v>33</v>
      </c>
    </row>
    <row r="37" spans="1:24" s="106" customFormat="1" ht="144" x14ac:dyDescent="0.3">
      <c r="A37" s="137">
        <v>9</v>
      </c>
      <c r="B37" s="138" t="s">
        <v>56</v>
      </c>
      <c r="C37" s="138" t="s">
        <v>146</v>
      </c>
      <c r="D37" s="138" t="s">
        <v>147</v>
      </c>
      <c r="E37" s="147">
        <v>139</v>
      </c>
      <c r="F37" s="149">
        <v>45337</v>
      </c>
      <c r="G37" s="138" t="s">
        <v>217</v>
      </c>
      <c r="H37" s="139">
        <v>7000</v>
      </c>
      <c r="I37" s="140">
        <f>IF(X37 = 34, H37 + SUM(S37:S37) - SUM(T37:T37) - SUM(P37:P37) - V37,0)</f>
        <v>0</v>
      </c>
      <c r="J37" s="138" t="s">
        <v>218</v>
      </c>
      <c r="K37" s="138" t="s">
        <v>219</v>
      </c>
      <c r="L37" s="138" t="s">
        <v>146</v>
      </c>
      <c r="M37" s="138"/>
      <c r="N37" s="149"/>
      <c r="O37" s="149" t="s">
        <v>194</v>
      </c>
      <c r="P37" s="139">
        <v>7000</v>
      </c>
      <c r="Q37" s="142">
        <v>45350</v>
      </c>
      <c r="R37" s="138"/>
      <c r="S37" s="139"/>
      <c r="T37" s="139"/>
      <c r="U37" s="139"/>
      <c r="V37" s="148"/>
      <c r="W37" s="141"/>
      <c r="X37" s="106">
        <v>34</v>
      </c>
    </row>
    <row r="38" spans="1:24" s="106" customFormat="1" ht="144" x14ac:dyDescent="0.3">
      <c r="A38" s="137">
        <v>10</v>
      </c>
      <c r="B38" s="138" t="s">
        <v>56</v>
      </c>
      <c r="C38" s="138" t="s">
        <v>146</v>
      </c>
      <c r="D38" s="138" t="s">
        <v>147</v>
      </c>
      <c r="E38" s="143">
        <v>45348</v>
      </c>
      <c r="F38" s="149">
        <v>45348</v>
      </c>
      <c r="G38" s="138" t="s">
        <v>216</v>
      </c>
      <c r="H38" s="139">
        <v>13100</v>
      </c>
      <c r="I38" s="140">
        <f>IF(X38 = 35, H38 + SUM(S38:S38) - SUM(T38:T38) - SUM(P38:P38) - V38,0)</f>
        <v>0</v>
      </c>
      <c r="J38" s="138" t="s">
        <v>208</v>
      </c>
      <c r="K38" s="138" t="s">
        <v>209</v>
      </c>
      <c r="L38" s="138" t="s">
        <v>146</v>
      </c>
      <c r="M38" s="138"/>
      <c r="N38" s="149"/>
      <c r="O38" s="149" t="s">
        <v>194</v>
      </c>
      <c r="P38" s="139">
        <v>13100</v>
      </c>
      <c r="Q38" s="142">
        <v>45351</v>
      </c>
      <c r="R38" s="138"/>
      <c r="S38" s="139"/>
      <c r="T38" s="139"/>
      <c r="U38" s="139"/>
      <c r="V38" s="148"/>
      <c r="W38" s="141"/>
      <c r="X38" s="106">
        <v>35</v>
      </c>
    </row>
    <row r="39" spans="1:24" s="106" customFormat="1" ht="144" customHeight="1" x14ac:dyDescent="0.3">
      <c r="A39" s="497">
        <v>11</v>
      </c>
      <c r="B39" s="506" t="s">
        <v>56</v>
      </c>
      <c r="C39" s="506" t="s">
        <v>146</v>
      </c>
      <c r="D39" s="506" t="s">
        <v>220</v>
      </c>
      <c r="E39" s="500" t="s">
        <v>222</v>
      </c>
      <c r="F39" s="500">
        <v>45351</v>
      </c>
      <c r="G39" s="506" t="s">
        <v>223</v>
      </c>
      <c r="H39" s="503">
        <v>3600</v>
      </c>
      <c r="I39" s="579">
        <f>IF(X39 = 36, H39 + SUM(S39:S41) - SUM(T39:T41) - SUM(P39:P41) - V39,0)</f>
        <v>0</v>
      </c>
      <c r="J39" s="506" t="s">
        <v>224</v>
      </c>
      <c r="K39" s="506" t="s">
        <v>157</v>
      </c>
      <c r="L39" s="506" t="s">
        <v>146</v>
      </c>
      <c r="M39" s="506"/>
      <c r="N39" s="434">
        <v>45382</v>
      </c>
      <c r="O39" s="500" t="s">
        <v>194</v>
      </c>
      <c r="P39" s="425">
        <v>600</v>
      </c>
      <c r="Q39" s="426">
        <v>45383</v>
      </c>
      <c r="R39" s="427"/>
      <c r="S39" s="425"/>
      <c r="T39" s="425"/>
      <c r="U39" s="503"/>
      <c r="V39" s="509"/>
      <c r="W39" s="512"/>
      <c r="X39" s="106">
        <v>36</v>
      </c>
    </row>
    <row r="40" spans="1:24" s="316" customFormat="1" x14ac:dyDescent="0.3">
      <c r="A40" s="498"/>
      <c r="B40" s="507"/>
      <c r="C40" s="507"/>
      <c r="D40" s="507"/>
      <c r="E40" s="501"/>
      <c r="F40" s="501"/>
      <c r="G40" s="507"/>
      <c r="H40" s="504"/>
      <c r="I40" s="580"/>
      <c r="J40" s="507"/>
      <c r="K40" s="507"/>
      <c r="L40" s="507"/>
      <c r="M40" s="507"/>
      <c r="N40" s="435">
        <v>45473</v>
      </c>
      <c r="O40" s="501"/>
      <c r="P40" s="428">
        <v>1800</v>
      </c>
      <c r="Q40" s="429">
        <v>45477</v>
      </c>
      <c r="R40" s="430"/>
      <c r="S40" s="428"/>
      <c r="T40" s="428"/>
      <c r="U40" s="504"/>
      <c r="V40" s="510"/>
      <c r="W40" s="513"/>
      <c r="X40" s="316">
        <v>36</v>
      </c>
    </row>
    <row r="41" spans="1:24" s="402" customFormat="1" x14ac:dyDescent="0.3">
      <c r="A41" s="499"/>
      <c r="B41" s="508"/>
      <c r="C41" s="508"/>
      <c r="D41" s="508"/>
      <c r="E41" s="502"/>
      <c r="F41" s="502"/>
      <c r="G41" s="508"/>
      <c r="H41" s="505"/>
      <c r="I41" s="581"/>
      <c r="J41" s="508"/>
      <c r="K41" s="508"/>
      <c r="L41" s="508"/>
      <c r="M41" s="508"/>
      <c r="N41" s="436">
        <v>45565</v>
      </c>
      <c r="O41" s="502"/>
      <c r="P41" s="431">
        <v>1200</v>
      </c>
      <c r="Q41" s="432">
        <v>45572</v>
      </c>
      <c r="R41" s="433"/>
      <c r="S41" s="431"/>
      <c r="T41" s="431"/>
      <c r="U41" s="505"/>
      <c r="V41" s="511"/>
      <c r="W41" s="514"/>
      <c r="X41" s="402">
        <v>36</v>
      </c>
    </row>
    <row r="42" spans="1:24" s="106" customFormat="1" ht="144" customHeight="1" x14ac:dyDescent="0.3">
      <c r="A42" s="497">
        <v>12</v>
      </c>
      <c r="B42" s="506" t="s">
        <v>56</v>
      </c>
      <c r="C42" s="506" t="s">
        <v>146</v>
      </c>
      <c r="D42" s="506" t="s">
        <v>147</v>
      </c>
      <c r="E42" s="500">
        <v>210012514659</v>
      </c>
      <c r="F42" s="500">
        <v>45356</v>
      </c>
      <c r="G42" s="506" t="s">
        <v>231</v>
      </c>
      <c r="H42" s="503">
        <v>6348</v>
      </c>
      <c r="I42" s="579">
        <f>IF(X42 = 37, H42 + SUM(S42:S47) - SUM(T42:T47) - SUM(P42:P47) - V42,0)</f>
        <v>1488</v>
      </c>
      <c r="J42" s="506" t="s">
        <v>232</v>
      </c>
      <c r="K42" s="506" t="s">
        <v>233</v>
      </c>
      <c r="L42" s="506" t="s">
        <v>146</v>
      </c>
      <c r="M42" s="506"/>
      <c r="N42" s="434">
        <v>45412</v>
      </c>
      <c r="O42" s="500" t="s">
        <v>234</v>
      </c>
      <c r="P42" s="425">
        <v>3000</v>
      </c>
      <c r="Q42" s="426">
        <v>45392</v>
      </c>
      <c r="R42" s="427"/>
      <c r="S42" s="425"/>
      <c r="T42" s="425"/>
      <c r="U42" s="503"/>
      <c r="V42" s="509"/>
      <c r="W42" s="512"/>
      <c r="X42" s="106">
        <v>37</v>
      </c>
    </row>
    <row r="43" spans="1:24" s="267" customFormat="1" x14ac:dyDescent="0.3">
      <c r="A43" s="498"/>
      <c r="B43" s="507"/>
      <c r="C43" s="507"/>
      <c r="D43" s="507"/>
      <c r="E43" s="501"/>
      <c r="F43" s="501"/>
      <c r="G43" s="507"/>
      <c r="H43" s="504"/>
      <c r="I43" s="580"/>
      <c r="J43" s="507"/>
      <c r="K43" s="507"/>
      <c r="L43" s="507"/>
      <c r="M43" s="507"/>
      <c r="N43" s="435">
        <v>45412</v>
      </c>
      <c r="O43" s="501"/>
      <c r="P43" s="428">
        <v>372</v>
      </c>
      <c r="Q43" s="429">
        <v>45425</v>
      </c>
      <c r="R43" s="430"/>
      <c r="S43" s="428"/>
      <c r="T43" s="428"/>
      <c r="U43" s="504"/>
      <c r="V43" s="510"/>
      <c r="W43" s="513"/>
      <c r="X43" s="267">
        <v>37</v>
      </c>
    </row>
    <row r="44" spans="1:24" s="316" customFormat="1" x14ac:dyDescent="0.3">
      <c r="A44" s="498"/>
      <c r="B44" s="507"/>
      <c r="C44" s="507"/>
      <c r="D44" s="507"/>
      <c r="E44" s="501"/>
      <c r="F44" s="501"/>
      <c r="G44" s="507"/>
      <c r="H44" s="504"/>
      <c r="I44" s="580"/>
      <c r="J44" s="507"/>
      <c r="K44" s="507"/>
      <c r="L44" s="507"/>
      <c r="M44" s="507"/>
      <c r="N44" s="435">
        <v>45473</v>
      </c>
      <c r="O44" s="501"/>
      <c r="P44" s="428">
        <v>372</v>
      </c>
      <c r="Q44" s="429">
        <v>45481</v>
      </c>
      <c r="R44" s="430"/>
      <c r="S44" s="428"/>
      <c r="T44" s="428"/>
      <c r="U44" s="504"/>
      <c r="V44" s="510"/>
      <c r="W44" s="513"/>
      <c r="X44" s="316">
        <v>37</v>
      </c>
    </row>
    <row r="45" spans="1:24" s="322" customFormat="1" x14ac:dyDescent="0.3">
      <c r="A45" s="498"/>
      <c r="B45" s="507"/>
      <c r="C45" s="507"/>
      <c r="D45" s="507"/>
      <c r="E45" s="501"/>
      <c r="F45" s="501"/>
      <c r="G45" s="507"/>
      <c r="H45" s="504"/>
      <c r="I45" s="580"/>
      <c r="J45" s="507"/>
      <c r="K45" s="507"/>
      <c r="L45" s="507"/>
      <c r="M45" s="507"/>
      <c r="N45" s="435">
        <v>45504</v>
      </c>
      <c r="O45" s="501"/>
      <c r="P45" s="428">
        <v>372</v>
      </c>
      <c r="Q45" s="429">
        <v>45519</v>
      </c>
      <c r="R45" s="430"/>
      <c r="S45" s="428"/>
      <c r="T45" s="428"/>
      <c r="U45" s="504"/>
      <c r="V45" s="510"/>
      <c r="W45" s="513"/>
      <c r="X45" s="322">
        <v>37</v>
      </c>
    </row>
    <row r="46" spans="1:24" s="370" customFormat="1" x14ac:dyDescent="0.3">
      <c r="A46" s="498"/>
      <c r="B46" s="507"/>
      <c r="C46" s="507"/>
      <c r="D46" s="507"/>
      <c r="E46" s="501"/>
      <c r="F46" s="501"/>
      <c r="G46" s="507"/>
      <c r="H46" s="504"/>
      <c r="I46" s="580"/>
      <c r="J46" s="507"/>
      <c r="K46" s="507"/>
      <c r="L46" s="507"/>
      <c r="M46" s="507"/>
      <c r="N46" s="435">
        <v>45535</v>
      </c>
      <c r="O46" s="501"/>
      <c r="P46" s="428">
        <v>372</v>
      </c>
      <c r="Q46" s="429">
        <v>45544</v>
      </c>
      <c r="R46" s="430"/>
      <c r="S46" s="428"/>
      <c r="T46" s="428"/>
      <c r="U46" s="504"/>
      <c r="V46" s="510"/>
      <c r="W46" s="513"/>
      <c r="X46" s="370">
        <v>37</v>
      </c>
    </row>
    <row r="47" spans="1:24" s="402" customFormat="1" x14ac:dyDescent="0.3">
      <c r="A47" s="499"/>
      <c r="B47" s="508"/>
      <c r="C47" s="508"/>
      <c r="D47" s="508"/>
      <c r="E47" s="502"/>
      <c r="F47" s="502"/>
      <c r="G47" s="508"/>
      <c r="H47" s="505"/>
      <c r="I47" s="581"/>
      <c r="J47" s="508"/>
      <c r="K47" s="508"/>
      <c r="L47" s="508"/>
      <c r="M47" s="508"/>
      <c r="N47" s="436">
        <v>45565</v>
      </c>
      <c r="O47" s="502"/>
      <c r="P47" s="431">
        <v>372</v>
      </c>
      <c r="Q47" s="432">
        <v>45575</v>
      </c>
      <c r="R47" s="433"/>
      <c r="S47" s="431"/>
      <c r="T47" s="431"/>
      <c r="U47" s="505"/>
      <c r="V47" s="511"/>
      <c r="W47" s="514"/>
      <c r="X47" s="402">
        <v>37</v>
      </c>
    </row>
    <row r="48" spans="1:24" s="106" customFormat="1" ht="144" x14ac:dyDescent="0.3">
      <c r="A48" s="159">
        <v>13</v>
      </c>
      <c r="B48" s="162" t="s">
        <v>56</v>
      </c>
      <c r="C48" s="162" t="s">
        <v>163</v>
      </c>
      <c r="D48" s="162" t="s">
        <v>147</v>
      </c>
      <c r="E48" s="160" t="s">
        <v>235</v>
      </c>
      <c r="F48" s="169">
        <v>45358</v>
      </c>
      <c r="G48" s="162" t="s">
        <v>236</v>
      </c>
      <c r="H48" s="161">
        <v>8200</v>
      </c>
      <c r="I48" s="166">
        <f>IF(X48 = 38, H48 + SUM(S48:S48) - SUM(T48:T48) - SUM(P48:P48) - V48,0)</f>
        <v>0</v>
      </c>
      <c r="J48" s="162" t="s">
        <v>237</v>
      </c>
      <c r="K48" s="162" t="s">
        <v>238</v>
      </c>
      <c r="L48" s="162" t="s">
        <v>146</v>
      </c>
      <c r="M48" s="162"/>
      <c r="N48" s="169">
        <v>45366</v>
      </c>
      <c r="O48" s="169" t="s">
        <v>234</v>
      </c>
      <c r="P48" s="161">
        <v>8200</v>
      </c>
      <c r="Q48" s="165">
        <v>45370</v>
      </c>
      <c r="R48" s="162"/>
      <c r="S48" s="161"/>
      <c r="T48" s="161"/>
      <c r="U48" s="161"/>
      <c r="V48" s="170"/>
      <c r="W48" s="164"/>
      <c r="X48" s="106">
        <v>38</v>
      </c>
    </row>
    <row r="49" spans="1:24" s="106" customFormat="1" ht="144" x14ac:dyDescent="0.3">
      <c r="A49" s="159">
        <v>14</v>
      </c>
      <c r="B49" s="162" t="s">
        <v>56</v>
      </c>
      <c r="C49" s="162" t="s">
        <v>146</v>
      </c>
      <c r="D49" s="162" t="s">
        <v>147</v>
      </c>
      <c r="E49" s="190">
        <v>41</v>
      </c>
      <c r="F49" s="169">
        <v>45302</v>
      </c>
      <c r="G49" s="162" t="s">
        <v>246</v>
      </c>
      <c r="H49" s="161">
        <v>10000</v>
      </c>
      <c r="I49" s="166">
        <f>IF(X49 = 39, H49 + SUM(S49:S49) - SUM(T49:T49) - SUM(P49:P49) - V49,0)</f>
        <v>0</v>
      </c>
      <c r="J49" s="162" t="s">
        <v>213</v>
      </c>
      <c r="K49" s="162" t="s">
        <v>199</v>
      </c>
      <c r="L49" s="162" t="s">
        <v>146</v>
      </c>
      <c r="M49" s="162"/>
      <c r="N49" s="169">
        <v>45362</v>
      </c>
      <c r="O49" s="169" t="s">
        <v>194</v>
      </c>
      <c r="P49" s="161">
        <v>10000</v>
      </c>
      <c r="Q49" s="165">
        <v>45363</v>
      </c>
      <c r="R49" s="162"/>
      <c r="S49" s="161"/>
      <c r="T49" s="161"/>
      <c r="U49" s="161"/>
      <c r="V49" s="170"/>
      <c r="W49" s="164"/>
      <c r="X49" s="106">
        <v>39</v>
      </c>
    </row>
    <row r="50" spans="1:24" s="106" customFormat="1" ht="144" x14ac:dyDescent="0.3">
      <c r="A50" s="159">
        <v>15</v>
      </c>
      <c r="B50" s="162" t="s">
        <v>56</v>
      </c>
      <c r="C50" s="162" t="s">
        <v>146</v>
      </c>
      <c r="D50" s="162" t="s">
        <v>147</v>
      </c>
      <c r="E50" s="160" t="s">
        <v>248</v>
      </c>
      <c r="F50" s="169">
        <v>45369</v>
      </c>
      <c r="G50" s="162" t="s">
        <v>247</v>
      </c>
      <c r="H50" s="161">
        <v>7000</v>
      </c>
      <c r="I50" s="166">
        <f>IF(X50 = 40, H50 + SUM(S50:S50) - SUM(T50:T50) - SUM(P50:P50) - V50,0)</f>
        <v>0</v>
      </c>
      <c r="J50" s="162" t="s">
        <v>245</v>
      </c>
      <c r="K50" s="162" t="s">
        <v>229</v>
      </c>
      <c r="L50" s="162" t="s">
        <v>146</v>
      </c>
      <c r="M50" s="162"/>
      <c r="N50" s="169">
        <v>45456</v>
      </c>
      <c r="O50" s="169" t="s">
        <v>194</v>
      </c>
      <c r="P50" s="161">
        <v>7000</v>
      </c>
      <c r="Q50" s="165">
        <v>45462</v>
      </c>
      <c r="R50" s="162"/>
      <c r="S50" s="161"/>
      <c r="T50" s="161"/>
      <c r="U50" s="161"/>
      <c r="V50" s="170"/>
      <c r="W50" s="164"/>
      <c r="X50" s="106">
        <v>40</v>
      </c>
    </row>
    <row r="51" spans="1:24" s="106" customFormat="1" ht="144" x14ac:dyDescent="0.3">
      <c r="A51" s="159">
        <v>16</v>
      </c>
      <c r="B51" s="162" t="s">
        <v>56</v>
      </c>
      <c r="C51" s="162" t="s">
        <v>146</v>
      </c>
      <c r="D51" s="162" t="s">
        <v>147</v>
      </c>
      <c r="E51" s="160" t="s">
        <v>249</v>
      </c>
      <c r="F51" s="169">
        <v>45372</v>
      </c>
      <c r="G51" s="162" t="s">
        <v>250</v>
      </c>
      <c r="H51" s="161">
        <v>7600</v>
      </c>
      <c r="I51" s="166">
        <f>IF(X51 = 41, H51 + SUM(S51:S51) - SUM(T51:T51) - SUM(P51:P51) - V51,0)</f>
        <v>0</v>
      </c>
      <c r="J51" s="162" t="s">
        <v>251</v>
      </c>
      <c r="K51" s="162" t="s">
        <v>252</v>
      </c>
      <c r="L51" s="162" t="s">
        <v>146</v>
      </c>
      <c r="M51" s="162"/>
      <c r="N51" s="169">
        <v>45372</v>
      </c>
      <c r="O51" s="169" t="s">
        <v>194</v>
      </c>
      <c r="P51" s="161">
        <v>7600</v>
      </c>
      <c r="Q51" s="165">
        <v>45376</v>
      </c>
      <c r="R51" s="162"/>
      <c r="S51" s="161"/>
      <c r="T51" s="161"/>
      <c r="U51" s="161"/>
      <c r="V51" s="170"/>
      <c r="W51" s="164"/>
      <c r="X51" s="106">
        <v>41</v>
      </c>
    </row>
    <row r="52" spans="1:24" s="106" customFormat="1" ht="144" x14ac:dyDescent="0.3">
      <c r="A52" s="171">
        <v>17</v>
      </c>
      <c r="B52" s="174" t="s">
        <v>56</v>
      </c>
      <c r="C52" s="174" t="s">
        <v>146</v>
      </c>
      <c r="D52" s="174" t="s">
        <v>147</v>
      </c>
      <c r="E52" s="172" t="s">
        <v>259</v>
      </c>
      <c r="F52" s="178">
        <v>45378</v>
      </c>
      <c r="G52" s="174" t="s">
        <v>258</v>
      </c>
      <c r="H52" s="173">
        <v>9357.7000000000007</v>
      </c>
      <c r="I52" s="177">
        <f>IF(X52 = 42, H52 + SUM(S52:S52) - SUM(T52:T52) - SUM(P52:P52) - V52,0)</f>
        <v>0</v>
      </c>
      <c r="J52" s="174" t="s">
        <v>257</v>
      </c>
      <c r="K52" s="174" t="s">
        <v>256</v>
      </c>
      <c r="L52" s="174" t="s">
        <v>146</v>
      </c>
      <c r="M52" s="174"/>
      <c r="N52" s="178">
        <v>45405</v>
      </c>
      <c r="O52" s="119" t="s">
        <v>165</v>
      </c>
      <c r="P52" s="173">
        <v>9357.7000000000007</v>
      </c>
      <c r="Q52" s="176">
        <v>45427</v>
      </c>
      <c r="R52" s="174"/>
      <c r="S52" s="173"/>
      <c r="T52" s="173"/>
      <c r="U52" s="173"/>
      <c r="V52" s="170"/>
      <c r="W52" s="175"/>
      <c r="X52" s="106">
        <v>42</v>
      </c>
    </row>
    <row r="53" spans="1:24" s="106" customFormat="1" ht="144" x14ac:dyDescent="0.3">
      <c r="A53" s="194">
        <v>18</v>
      </c>
      <c r="B53" s="195" t="s">
        <v>56</v>
      </c>
      <c r="C53" s="195" t="s">
        <v>146</v>
      </c>
      <c r="D53" s="195" t="s">
        <v>220</v>
      </c>
      <c r="E53" s="202">
        <v>12</v>
      </c>
      <c r="F53" s="201">
        <v>45407</v>
      </c>
      <c r="G53" s="195" t="s">
        <v>262</v>
      </c>
      <c r="H53" s="197">
        <v>1187</v>
      </c>
      <c r="I53" s="198">
        <f>IF(X53 = 43, H53 + SUM(S53:S53) - SUM(T53:T53) - SUM(P53:P53) - V53,0)</f>
        <v>0</v>
      </c>
      <c r="J53" s="195" t="s">
        <v>263</v>
      </c>
      <c r="K53" s="195" t="s">
        <v>264</v>
      </c>
      <c r="L53" s="195" t="s">
        <v>146</v>
      </c>
      <c r="M53" s="195"/>
      <c r="N53" s="201"/>
      <c r="O53" s="201" t="s">
        <v>165</v>
      </c>
      <c r="P53" s="197">
        <v>1187</v>
      </c>
      <c r="Q53" s="199">
        <v>45418</v>
      </c>
      <c r="R53" s="195"/>
      <c r="S53" s="197"/>
      <c r="T53" s="197"/>
      <c r="U53" s="197"/>
      <c r="V53" s="200"/>
      <c r="W53" s="192"/>
      <c r="X53" s="106">
        <v>43</v>
      </c>
    </row>
    <row r="54" spans="1:24" s="106" customFormat="1" ht="144" x14ac:dyDescent="0.3">
      <c r="A54" s="194">
        <v>19</v>
      </c>
      <c r="B54" s="195" t="s">
        <v>56</v>
      </c>
      <c r="C54" s="195" t="s">
        <v>146</v>
      </c>
      <c r="D54" s="195" t="s">
        <v>147</v>
      </c>
      <c r="E54" s="196" t="s">
        <v>266</v>
      </c>
      <c r="F54" s="201">
        <v>45385</v>
      </c>
      <c r="G54" s="195" t="s">
        <v>267</v>
      </c>
      <c r="H54" s="197">
        <v>5000</v>
      </c>
      <c r="I54" s="198">
        <f>IF(X54 = 44, H54 + SUM(S54:S54) - SUM(T54:T54) - SUM(P54:P54) - V54,0)</f>
        <v>0</v>
      </c>
      <c r="J54" s="195" t="s">
        <v>268</v>
      </c>
      <c r="K54" s="195" t="s">
        <v>269</v>
      </c>
      <c r="L54" s="195" t="s">
        <v>146</v>
      </c>
      <c r="M54" s="195"/>
      <c r="N54" s="201"/>
      <c r="O54" s="201" t="s">
        <v>165</v>
      </c>
      <c r="P54" s="197">
        <v>5000</v>
      </c>
      <c r="Q54" s="199">
        <v>45387</v>
      </c>
      <c r="R54" s="195"/>
      <c r="S54" s="197"/>
      <c r="T54" s="197"/>
      <c r="U54" s="197"/>
      <c r="V54" s="200"/>
      <c r="W54" s="192"/>
      <c r="X54" s="106">
        <v>44</v>
      </c>
    </row>
    <row r="55" spans="1:24" s="106" customFormat="1" ht="108" customHeight="1" x14ac:dyDescent="0.3">
      <c r="A55" s="562">
        <v>20</v>
      </c>
      <c r="B55" s="527" t="s">
        <v>56</v>
      </c>
      <c r="C55" s="527" t="s">
        <v>146</v>
      </c>
      <c r="D55" s="527" t="s">
        <v>220</v>
      </c>
      <c r="E55" s="529" t="s">
        <v>270</v>
      </c>
      <c r="F55" s="529">
        <v>45401</v>
      </c>
      <c r="G55" s="527" t="s">
        <v>271</v>
      </c>
      <c r="H55" s="538">
        <v>11370</v>
      </c>
      <c r="I55" s="541">
        <f>IF(X55 = 45, H55 + SUM(S55:S58) - SUM(T55:T58) - SUM(P55:P58) - V55,0)</f>
        <v>0</v>
      </c>
      <c r="J55" s="527" t="s">
        <v>272</v>
      </c>
      <c r="K55" s="527" t="s">
        <v>273</v>
      </c>
      <c r="L55" s="527" t="s">
        <v>146</v>
      </c>
      <c r="M55" s="527"/>
      <c r="N55" s="297"/>
      <c r="O55" s="529" t="s">
        <v>274</v>
      </c>
      <c r="P55" s="288">
        <v>2967</v>
      </c>
      <c r="Q55" s="289">
        <v>45406</v>
      </c>
      <c r="R55" s="290"/>
      <c r="S55" s="288"/>
      <c r="T55" s="288"/>
      <c r="U55" s="538"/>
      <c r="V55" s="544"/>
      <c r="W55" s="525"/>
      <c r="X55" s="106">
        <v>45</v>
      </c>
    </row>
    <row r="56" spans="1:24" s="204" customFormat="1" x14ac:dyDescent="0.3">
      <c r="A56" s="564"/>
      <c r="B56" s="536"/>
      <c r="C56" s="536"/>
      <c r="D56" s="536"/>
      <c r="E56" s="537"/>
      <c r="F56" s="537"/>
      <c r="G56" s="536"/>
      <c r="H56" s="539"/>
      <c r="I56" s="542"/>
      <c r="J56" s="536"/>
      <c r="K56" s="536"/>
      <c r="L56" s="536"/>
      <c r="M56" s="536"/>
      <c r="N56" s="298"/>
      <c r="O56" s="537"/>
      <c r="P56" s="291">
        <v>444</v>
      </c>
      <c r="Q56" s="292">
        <v>45406</v>
      </c>
      <c r="R56" s="293"/>
      <c r="S56" s="291"/>
      <c r="T56" s="291"/>
      <c r="U56" s="539"/>
      <c r="V56" s="546"/>
      <c r="W56" s="535"/>
      <c r="X56" s="204">
        <v>45</v>
      </c>
    </row>
    <row r="57" spans="1:24" s="280" customFormat="1" x14ac:dyDescent="0.3">
      <c r="A57" s="564"/>
      <c r="B57" s="536"/>
      <c r="C57" s="536"/>
      <c r="D57" s="536"/>
      <c r="E57" s="537"/>
      <c r="F57" s="537"/>
      <c r="G57" s="536"/>
      <c r="H57" s="539"/>
      <c r="I57" s="542"/>
      <c r="J57" s="536"/>
      <c r="K57" s="536"/>
      <c r="L57" s="536"/>
      <c r="M57" s="536"/>
      <c r="N57" s="298"/>
      <c r="O57" s="537"/>
      <c r="P57" s="291">
        <v>1036</v>
      </c>
      <c r="Q57" s="292" t="s">
        <v>320</v>
      </c>
      <c r="R57" s="293"/>
      <c r="S57" s="291"/>
      <c r="T57" s="291"/>
      <c r="U57" s="539"/>
      <c r="V57" s="546"/>
      <c r="W57" s="535"/>
      <c r="X57" s="280">
        <v>45</v>
      </c>
    </row>
    <row r="58" spans="1:24" s="280" customFormat="1" x14ac:dyDescent="0.3">
      <c r="A58" s="563"/>
      <c r="B58" s="528"/>
      <c r="C58" s="528"/>
      <c r="D58" s="528"/>
      <c r="E58" s="530"/>
      <c r="F58" s="530"/>
      <c r="G58" s="528"/>
      <c r="H58" s="540"/>
      <c r="I58" s="543"/>
      <c r="J58" s="528"/>
      <c r="K58" s="528"/>
      <c r="L58" s="528"/>
      <c r="M58" s="528"/>
      <c r="N58" s="299"/>
      <c r="O58" s="530"/>
      <c r="P58" s="294">
        <v>6923</v>
      </c>
      <c r="Q58" s="295">
        <v>45448</v>
      </c>
      <c r="R58" s="296"/>
      <c r="S58" s="294"/>
      <c r="T58" s="294"/>
      <c r="U58" s="540"/>
      <c r="V58" s="545"/>
      <c r="W58" s="526"/>
      <c r="X58" s="280">
        <v>45</v>
      </c>
    </row>
    <row r="59" spans="1:24" s="106" customFormat="1" ht="108" customHeight="1" x14ac:dyDescent="0.3">
      <c r="A59" s="562">
        <v>21</v>
      </c>
      <c r="B59" s="527" t="s">
        <v>56</v>
      </c>
      <c r="C59" s="527" t="s">
        <v>146</v>
      </c>
      <c r="D59" s="527" t="s">
        <v>147</v>
      </c>
      <c r="E59" s="529" t="s">
        <v>276</v>
      </c>
      <c r="F59" s="529">
        <v>45401</v>
      </c>
      <c r="G59" s="527" t="s">
        <v>275</v>
      </c>
      <c r="H59" s="538">
        <v>2461.29</v>
      </c>
      <c r="I59" s="541">
        <f>IF(X59 = 46, H59 + SUM(S59:S60) - SUM(T59:T60) - SUM(P59:P60) - V59,0)</f>
        <v>0</v>
      </c>
      <c r="J59" s="527" t="s">
        <v>272</v>
      </c>
      <c r="K59" s="527" t="s">
        <v>273</v>
      </c>
      <c r="L59" s="527" t="s">
        <v>146</v>
      </c>
      <c r="M59" s="527"/>
      <c r="N59" s="297"/>
      <c r="O59" s="529" t="s">
        <v>274</v>
      </c>
      <c r="P59" s="288">
        <v>738.38</v>
      </c>
      <c r="Q59" s="289">
        <v>45406</v>
      </c>
      <c r="R59" s="290"/>
      <c r="S59" s="288"/>
      <c r="T59" s="288"/>
      <c r="U59" s="538"/>
      <c r="V59" s="544"/>
      <c r="W59" s="525"/>
      <c r="X59" s="106">
        <v>46</v>
      </c>
    </row>
    <row r="60" spans="1:24" s="280" customFormat="1" x14ac:dyDescent="0.3">
      <c r="A60" s="563"/>
      <c r="B60" s="528"/>
      <c r="C60" s="528"/>
      <c r="D60" s="528"/>
      <c r="E60" s="530"/>
      <c r="F60" s="530"/>
      <c r="G60" s="528"/>
      <c r="H60" s="540"/>
      <c r="I60" s="543"/>
      <c r="J60" s="528"/>
      <c r="K60" s="528"/>
      <c r="L60" s="528"/>
      <c r="M60" s="528"/>
      <c r="N60" s="299"/>
      <c r="O60" s="530"/>
      <c r="P60" s="294">
        <v>1722.91</v>
      </c>
      <c r="Q60" s="295">
        <v>45449</v>
      </c>
      <c r="R60" s="296"/>
      <c r="S60" s="294"/>
      <c r="T60" s="294"/>
      <c r="U60" s="540"/>
      <c r="V60" s="545"/>
      <c r="W60" s="526"/>
      <c r="X60" s="280">
        <v>46</v>
      </c>
    </row>
    <row r="61" spans="1:24" s="106" customFormat="1" ht="144" x14ac:dyDescent="0.3">
      <c r="A61" s="194">
        <v>22</v>
      </c>
      <c r="B61" s="195" t="s">
        <v>56</v>
      </c>
      <c r="C61" s="195" t="s">
        <v>146</v>
      </c>
      <c r="D61" s="195" t="s">
        <v>220</v>
      </c>
      <c r="E61" s="201" t="s">
        <v>277</v>
      </c>
      <c r="F61" s="203">
        <v>45404</v>
      </c>
      <c r="G61" s="195" t="s">
        <v>207</v>
      </c>
      <c r="H61" s="197">
        <v>13000</v>
      </c>
      <c r="I61" s="198">
        <f>IF(X61 = 47, H61 + SUM(S61:S61) - SUM(T61:T61) - SUM(P61:P61) - V61,0)</f>
        <v>0</v>
      </c>
      <c r="J61" s="195" t="s">
        <v>208</v>
      </c>
      <c r="K61" s="195" t="s">
        <v>209</v>
      </c>
      <c r="L61" s="195" t="s">
        <v>146</v>
      </c>
      <c r="M61" s="195"/>
      <c r="N61" s="203"/>
      <c r="O61" s="203" t="s">
        <v>194</v>
      </c>
      <c r="P61" s="197">
        <v>13000</v>
      </c>
      <c r="Q61" s="199">
        <v>45418</v>
      </c>
      <c r="R61" s="195"/>
      <c r="S61" s="197"/>
      <c r="T61" s="197"/>
      <c r="U61" s="197"/>
      <c r="V61" s="200"/>
      <c r="W61" s="193"/>
      <c r="X61" s="106">
        <v>47</v>
      </c>
    </row>
    <row r="62" spans="1:24" s="106" customFormat="1" ht="144" x14ac:dyDescent="0.3">
      <c r="A62" s="194">
        <v>23</v>
      </c>
      <c r="B62" s="195" t="s">
        <v>56</v>
      </c>
      <c r="C62" s="195" t="s">
        <v>146</v>
      </c>
      <c r="D62" s="195" t="s">
        <v>147</v>
      </c>
      <c r="E62" s="195" t="s">
        <v>278</v>
      </c>
      <c r="F62" s="203">
        <v>45398</v>
      </c>
      <c r="G62" s="195" t="s">
        <v>207</v>
      </c>
      <c r="H62" s="197">
        <v>4400</v>
      </c>
      <c r="I62" s="198">
        <f>IF(X62 = 48, H62 + SUM(S62:S62) - SUM(T62:T62) - SUM(P62:P62) - V62,0)</f>
        <v>0</v>
      </c>
      <c r="J62" s="195" t="s">
        <v>208</v>
      </c>
      <c r="K62" s="195" t="s">
        <v>209</v>
      </c>
      <c r="L62" s="195" t="s">
        <v>146</v>
      </c>
      <c r="M62" s="195"/>
      <c r="N62" s="203"/>
      <c r="O62" s="203" t="s">
        <v>194</v>
      </c>
      <c r="P62" s="197">
        <v>4400</v>
      </c>
      <c r="Q62" s="199">
        <v>45408</v>
      </c>
      <c r="R62" s="195"/>
      <c r="S62" s="197"/>
      <c r="T62" s="197"/>
      <c r="U62" s="197"/>
      <c r="V62" s="200"/>
      <c r="W62" s="193"/>
      <c r="X62" s="106">
        <v>48</v>
      </c>
    </row>
    <row r="63" spans="1:24" s="106" customFormat="1" ht="144" x14ac:dyDescent="0.3">
      <c r="A63" s="228">
        <v>24</v>
      </c>
      <c r="B63" s="223" t="s">
        <v>56</v>
      </c>
      <c r="C63" s="223" t="s">
        <v>146</v>
      </c>
      <c r="D63" s="223" t="s">
        <v>147</v>
      </c>
      <c r="E63" s="223" t="s">
        <v>286</v>
      </c>
      <c r="F63" s="232">
        <v>45418</v>
      </c>
      <c r="G63" s="195" t="s">
        <v>207</v>
      </c>
      <c r="H63" s="230">
        <v>3830</v>
      </c>
      <c r="I63" s="231">
        <f>IF(X63 = 49, H63 + SUM(S63:S63) - SUM(T63:T63) - SUM(P63:P63) - V63,0)</f>
        <v>0</v>
      </c>
      <c r="J63" s="195" t="s">
        <v>208</v>
      </c>
      <c r="K63" s="195" t="s">
        <v>209</v>
      </c>
      <c r="L63" s="195" t="s">
        <v>146</v>
      </c>
      <c r="M63" s="195"/>
      <c r="N63" s="203">
        <v>45418</v>
      </c>
      <c r="O63" s="203" t="s">
        <v>194</v>
      </c>
      <c r="P63" s="230">
        <v>3830</v>
      </c>
      <c r="Q63" s="229">
        <v>45427</v>
      </c>
      <c r="R63" s="223"/>
      <c r="S63" s="230"/>
      <c r="T63" s="230"/>
      <c r="U63" s="230"/>
      <c r="V63" s="264"/>
      <c r="W63" s="227"/>
      <c r="X63" s="106">
        <v>49</v>
      </c>
    </row>
    <row r="64" spans="1:24" s="106" customFormat="1" ht="144" x14ac:dyDescent="0.3">
      <c r="A64" s="228">
        <v>25</v>
      </c>
      <c r="B64" s="223" t="s">
        <v>56</v>
      </c>
      <c r="C64" s="223" t="s">
        <v>146</v>
      </c>
      <c r="D64" s="223" t="s">
        <v>147</v>
      </c>
      <c r="E64" s="223" t="s">
        <v>287</v>
      </c>
      <c r="F64" s="232">
        <v>45427</v>
      </c>
      <c r="G64" s="223" t="s">
        <v>288</v>
      </c>
      <c r="H64" s="230">
        <v>9947.0499999999993</v>
      </c>
      <c r="I64" s="231">
        <f>IF(X64 = 50, H64 + SUM(S64:S64) - SUM(T64:T64) - SUM(P64:P64) - V64,0)</f>
        <v>0</v>
      </c>
      <c r="J64" s="223" t="s">
        <v>289</v>
      </c>
      <c r="K64" s="223" t="s">
        <v>290</v>
      </c>
      <c r="L64" s="223" t="s">
        <v>146</v>
      </c>
      <c r="M64" s="223"/>
      <c r="N64" s="232">
        <v>45427</v>
      </c>
      <c r="O64" s="203" t="s">
        <v>194</v>
      </c>
      <c r="P64" s="230">
        <v>9947.0499999999993</v>
      </c>
      <c r="Q64" s="229">
        <v>45429</v>
      </c>
      <c r="R64" s="223"/>
      <c r="S64" s="230"/>
      <c r="T64" s="230"/>
      <c r="U64" s="230"/>
      <c r="V64" s="264"/>
      <c r="W64" s="227"/>
      <c r="X64" s="106">
        <v>50</v>
      </c>
    </row>
    <row r="65" spans="1:24" s="106" customFormat="1" ht="144" x14ac:dyDescent="0.3">
      <c r="A65" s="243">
        <v>26</v>
      </c>
      <c r="B65" s="244" t="s">
        <v>56</v>
      </c>
      <c r="C65" s="244" t="s">
        <v>146</v>
      </c>
      <c r="D65" s="244" t="s">
        <v>147</v>
      </c>
      <c r="E65" s="244" t="s">
        <v>291</v>
      </c>
      <c r="F65" s="266">
        <v>45432</v>
      </c>
      <c r="G65" s="244" t="s">
        <v>207</v>
      </c>
      <c r="H65" s="247">
        <v>8090</v>
      </c>
      <c r="I65" s="248">
        <f>IF(X65 = 51, H65 + SUM(S65:S65) - SUM(T65:T65) - SUM(P65:P65) - V65,0)</f>
        <v>0</v>
      </c>
      <c r="J65" s="195" t="s">
        <v>208</v>
      </c>
      <c r="K65" s="195" t="s">
        <v>209</v>
      </c>
      <c r="L65" s="195" t="s">
        <v>146</v>
      </c>
      <c r="M65" s="244"/>
      <c r="N65" s="266">
        <v>45432</v>
      </c>
      <c r="O65" s="266" t="s">
        <v>194</v>
      </c>
      <c r="P65" s="247">
        <v>8090</v>
      </c>
      <c r="Q65" s="246">
        <v>45439</v>
      </c>
      <c r="R65" s="244"/>
      <c r="S65" s="247"/>
      <c r="T65" s="247"/>
      <c r="U65" s="247"/>
      <c r="V65" s="265"/>
      <c r="W65" s="252"/>
      <c r="X65" s="106">
        <v>51</v>
      </c>
    </row>
    <row r="66" spans="1:24" s="106" customFormat="1" ht="144" x14ac:dyDescent="0.3">
      <c r="A66" s="243">
        <v>27</v>
      </c>
      <c r="B66" s="244" t="s">
        <v>56</v>
      </c>
      <c r="C66" s="244" t="s">
        <v>146</v>
      </c>
      <c r="D66" s="244" t="s">
        <v>147</v>
      </c>
      <c r="E66" s="244" t="s">
        <v>292</v>
      </c>
      <c r="F66" s="268">
        <v>45435</v>
      </c>
      <c r="G66" s="244" t="s">
        <v>293</v>
      </c>
      <c r="H66" s="247">
        <v>3000</v>
      </c>
      <c r="I66" s="248">
        <f>IF(X66 = 52, H66 + SUM(S66:S66) - SUM(T66:T66) - SUM(P66:P66) - V66,0)</f>
        <v>0</v>
      </c>
      <c r="J66" s="244" t="s">
        <v>294</v>
      </c>
      <c r="K66" s="244" t="s">
        <v>295</v>
      </c>
      <c r="L66" s="244" t="s">
        <v>146</v>
      </c>
      <c r="M66" s="244"/>
      <c r="N66" s="268">
        <v>45435</v>
      </c>
      <c r="O66" s="268" t="s">
        <v>194</v>
      </c>
      <c r="P66" s="247">
        <v>3000</v>
      </c>
      <c r="Q66" s="246">
        <v>45439</v>
      </c>
      <c r="R66" s="244"/>
      <c r="S66" s="247"/>
      <c r="T66" s="247"/>
      <c r="U66" s="247"/>
      <c r="V66" s="265"/>
      <c r="W66" s="252"/>
      <c r="X66" s="106">
        <v>52</v>
      </c>
    </row>
    <row r="67" spans="1:24" s="106" customFormat="1" ht="144" x14ac:dyDescent="0.3">
      <c r="A67" s="243">
        <v>28</v>
      </c>
      <c r="B67" s="244" t="s">
        <v>56</v>
      </c>
      <c r="C67" s="244" t="s">
        <v>146</v>
      </c>
      <c r="D67" s="244" t="s">
        <v>147</v>
      </c>
      <c r="E67" s="244" t="s">
        <v>296</v>
      </c>
      <c r="F67" s="278">
        <v>45414</v>
      </c>
      <c r="G67" s="244" t="s">
        <v>297</v>
      </c>
      <c r="H67" s="247">
        <v>8645</v>
      </c>
      <c r="I67" s="248">
        <f>IF(X67 = 53, H67 + SUM(S67:S67) - SUM(T67:T67) - SUM(P67:P67) - V67,0)</f>
        <v>0</v>
      </c>
      <c r="J67" s="244" t="s">
        <v>298</v>
      </c>
      <c r="K67" s="244" t="s">
        <v>299</v>
      </c>
      <c r="L67" s="244" t="s">
        <v>146</v>
      </c>
      <c r="M67" s="244"/>
      <c r="N67" s="278"/>
      <c r="O67" s="278" t="s">
        <v>194</v>
      </c>
      <c r="P67" s="247">
        <v>8645</v>
      </c>
      <c r="Q67" s="246">
        <v>45418</v>
      </c>
      <c r="R67" s="244"/>
      <c r="S67" s="247"/>
      <c r="T67" s="247"/>
      <c r="U67" s="247"/>
      <c r="V67" s="265"/>
      <c r="W67" s="252"/>
      <c r="X67" s="106">
        <v>53</v>
      </c>
    </row>
    <row r="68" spans="1:24" s="106" customFormat="1" ht="144" x14ac:dyDescent="0.3">
      <c r="A68" s="281">
        <v>29</v>
      </c>
      <c r="B68" s="279" t="s">
        <v>56</v>
      </c>
      <c r="C68" s="279" t="s">
        <v>146</v>
      </c>
      <c r="D68" s="279" t="s">
        <v>147</v>
      </c>
      <c r="E68" s="279" t="s">
        <v>300</v>
      </c>
      <c r="F68" s="287">
        <v>45439</v>
      </c>
      <c r="G68" s="279" t="s">
        <v>207</v>
      </c>
      <c r="H68" s="282">
        <v>4970</v>
      </c>
      <c r="I68" s="283">
        <f>IF(X68 = 54, H68 + SUM(S68:S68) - SUM(T68:T68) - SUM(P68:P68) - V68,0)</f>
        <v>0</v>
      </c>
      <c r="J68" s="195" t="s">
        <v>208</v>
      </c>
      <c r="K68" s="195" t="s">
        <v>209</v>
      </c>
      <c r="L68" s="279" t="s">
        <v>146</v>
      </c>
      <c r="M68" s="279"/>
      <c r="N68" s="287"/>
      <c r="O68" s="287" t="s">
        <v>194</v>
      </c>
      <c r="P68" s="282">
        <v>4970</v>
      </c>
      <c r="Q68" s="284">
        <v>45447</v>
      </c>
      <c r="R68" s="279"/>
      <c r="S68" s="282"/>
      <c r="T68" s="282"/>
      <c r="U68" s="282"/>
      <c r="V68" s="285"/>
      <c r="W68" s="286"/>
      <c r="X68" s="106">
        <v>54</v>
      </c>
    </row>
    <row r="69" spans="1:24" s="106" customFormat="1" ht="144" customHeight="1" x14ac:dyDescent="0.3">
      <c r="A69" s="515">
        <v>30</v>
      </c>
      <c r="B69" s="521" t="s">
        <v>56</v>
      </c>
      <c r="C69" s="521" t="s">
        <v>146</v>
      </c>
      <c r="D69" s="521" t="s">
        <v>147</v>
      </c>
      <c r="E69" s="521" t="s">
        <v>306</v>
      </c>
      <c r="F69" s="517">
        <v>45464</v>
      </c>
      <c r="G69" s="521" t="s">
        <v>305</v>
      </c>
      <c r="H69" s="519">
        <v>19000</v>
      </c>
      <c r="I69" s="533">
        <f>IF(X69 = 55, H69 + SUM(S69:S70) - SUM(T69:T70) - SUM(P69:P70) - V69,0)</f>
        <v>0</v>
      </c>
      <c r="J69" s="521" t="s">
        <v>304</v>
      </c>
      <c r="K69" s="521" t="s">
        <v>303</v>
      </c>
      <c r="L69" s="521" t="s">
        <v>146</v>
      </c>
      <c r="M69" s="521"/>
      <c r="N69" s="338">
        <v>45464</v>
      </c>
      <c r="O69" s="517" t="s">
        <v>194</v>
      </c>
      <c r="P69" s="323">
        <v>7256</v>
      </c>
      <c r="Q69" s="324">
        <v>45477</v>
      </c>
      <c r="R69" s="325"/>
      <c r="S69" s="323"/>
      <c r="T69" s="323"/>
      <c r="U69" s="519"/>
      <c r="V69" s="523"/>
      <c r="W69" s="531"/>
      <c r="X69" s="106">
        <v>55</v>
      </c>
    </row>
    <row r="70" spans="1:24" s="316" customFormat="1" x14ac:dyDescent="0.3">
      <c r="A70" s="516"/>
      <c r="B70" s="522"/>
      <c r="C70" s="522"/>
      <c r="D70" s="522"/>
      <c r="E70" s="522"/>
      <c r="F70" s="518"/>
      <c r="G70" s="522"/>
      <c r="H70" s="520"/>
      <c r="I70" s="534"/>
      <c r="J70" s="522"/>
      <c r="K70" s="522"/>
      <c r="L70" s="522"/>
      <c r="M70" s="522"/>
      <c r="N70" s="340">
        <v>45464</v>
      </c>
      <c r="O70" s="518"/>
      <c r="P70" s="333">
        <v>11744</v>
      </c>
      <c r="Q70" s="334">
        <v>45477</v>
      </c>
      <c r="R70" s="335"/>
      <c r="S70" s="333"/>
      <c r="T70" s="333"/>
      <c r="U70" s="520"/>
      <c r="V70" s="524"/>
      <c r="W70" s="532"/>
      <c r="X70" s="316">
        <v>55</v>
      </c>
    </row>
    <row r="71" spans="1:24" s="106" customFormat="1" ht="144" customHeight="1" x14ac:dyDescent="0.3">
      <c r="A71" s="515">
        <v>31</v>
      </c>
      <c r="B71" s="521" t="s">
        <v>56</v>
      </c>
      <c r="C71" s="521" t="s">
        <v>146</v>
      </c>
      <c r="D71" s="521" t="s">
        <v>147</v>
      </c>
      <c r="E71" s="521" t="s">
        <v>307</v>
      </c>
      <c r="F71" s="517">
        <v>45464</v>
      </c>
      <c r="G71" s="521" t="s">
        <v>308</v>
      </c>
      <c r="H71" s="519">
        <v>6600</v>
      </c>
      <c r="I71" s="533">
        <f>IF(X71 = 56, H71 + SUM(S71:S72) - SUM(T71:T72) - SUM(P71:P72) - V71,0)</f>
        <v>0</v>
      </c>
      <c r="J71" s="521" t="s">
        <v>309</v>
      </c>
      <c r="K71" s="521" t="s">
        <v>310</v>
      </c>
      <c r="L71" s="521" t="s">
        <v>146</v>
      </c>
      <c r="M71" s="521"/>
      <c r="N71" s="338"/>
      <c r="O71" s="517" t="s">
        <v>194</v>
      </c>
      <c r="P71" s="323">
        <v>1980</v>
      </c>
      <c r="Q71" s="324">
        <v>45469</v>
      </c>
      <c r="R71" s="325"/>
      <c r="S71" s="323"/>
      <c r="T71" s="323"/>
      <c r="U71" s="519"/>
      <c r="V71" s="523"/>
      <c r="W71" s="531"/>
      <c r="X71" s="106">
        <v>56</v>
      </c>
    </row>
    <row r="72" spans="1:24" s="316" customFormat="1" x14ac:dyDescent="0.3">
      <c r="A72" s="516"/>
      <c r="B72" s="522"/>
      <c r="C72" s="522"/>
      <c r="D72" s="522"/>
      <c r="E72" s="522"/>
      <c r="F72" s="518"/>
      <c r="G72" s="522"/>
      <c r="H72" s="520"/>
      <c r="I72" s="534"/>
      <c r="J72" s="522"/>
      <c r="K72" s="522"/>
      <c r="L72" s="522"/>
      <c r="M72" s="522"/>
      <c r="N72" s="340">
        <v>45483</v>
      </c>
      <c r="O72" s="518"/>
      <c r="P72" s="333">
        <v>4620</v>
      </c>
      <c r="Q72" s="334">
        <v>45489</v>
      </c>
      <c r="R72" s="335"/>
      <c r="S72" s="333"/>
      <c r="T72" s="333"/>
      <c r="U72" s="520"/>
      <c r="V72" s="524"/>
      <c r="W72" s="532"/>
      <c r="X72" s="316">
        <v>56</v>
      </c>
    </row>
    <row r="73" spans="1:24" s="106" customFormat="1" ht="144" x14ac:dyDescent="0.3">
      <c r="A73" s="308">
        <v>32</v>
      </c>
      <c r="B73" s="309" t="s">
        <v>56</v>
      </c>
      <c r="C73" s="309" t="s">
        <v>146</v>
      </c>
      <c r="D73" s="309" t="s">
        <v>147</v>
      </c>
      <c r="E73" s="309" t="s">
        <v>321</v>
      </c>
      <c r="F73" s="314">
        <v>45446</v>
      </c>
      <c r="G73" s="309" t="s">
        <v>322</v>
      </c>
      <c r="H73" s="310">
        <v>196573.14</v>
      </c>
      <c r="I73" s="311">
        <f>IF(X73 = 57, H73 + SUM(S73:S73) - SUM(T73:T73) - SUM(P73:P73) - V73,0)</f>
        <v>0</v>
      </c>
      <c r="J73" s="309" t="s">
        <v>323</v>
      </c>
      <c r="K73" s="309" t="s">
        <v>324</v>
      </c>
      <c r="L73" s="309" t="s">
        <v>146</v>
      </c>
      <c r="M73" s="309"/>
      <c r="N73" s="314">
        <v>45474</v>
      </c>
      <c r="O73" s="314" t="s">
        <v>194</v>
      </c>
      <c r="P73" s="310">
        <v>196573.14</v>
      </c>
      <c r="Q73" s="312">
        <v>45483</v>
      </c>
      <c r="R73" s="309"/>
      <c r="S73" s="310"/>
      <c r="T73" s="310"/>
      <c r="U73" s="310"/>
      <c r="V73" s="313"/>
      <c r="W73" s="307"/>
      <c r="X73" s="106">
        <v>57</v>
      </c>
    </row>
    <row r="74" spans="1:24" s="106" customFormat="1" ht="144" x14ac:dyDescent="0.3">
      <c r="A74" s="308">
        <v>33</v>
      </c>
      <c r="B74" s="309" t="s">
        <v>56</v>
      </c>
      <c r="C74" s="309" t="s">
        <v>146</v>
      </c>
      <c r="D74" s="309" t="s">
        <v>147</v>
      </c>
      <c r="E74" s="309" t="s">
        <v>325</v>
      </c>
      <c r="F74" s="314">
        <v>45446</v>
      </c>
      <c r="G74" s="309" t="s">
        <v>328</v>
      </c>
      <c r="H74" s="310">
        <v>274956.38</v>
      </c>
      <c r="I74" s="311">
        <f>IF(X74 = 58, H74 + SUM(S74:S74) - SUM(T74:T74) - SUM(P74:P74) - V74,0)</f>
        <v>0</v>
      </c>
      <c r="J74" s="309" t="s">
        <v>323</v>
      </c>
      <c r="K74" s="309" t="s">
        <v>324</v>
      </c>
      <c r="L74" s="309" t="s">
        <v>146</v>
      </c>
      <c r="M74" s="309"/>
      <c r="N74" s="314">
        <v>45474</v>
      </c>
      <c r="O74" s="314" t="s">
        <v>194</v>
      </c>
      <c r="P74" s="310">
        <v>274956.38</v>
      </c>
      <c r="Q74" s="312">
        <v>45481</v>
      </c>
      <c r="R74" s="309"/>
      <c r="S74" s="310"/>
      <c r="T74" s="310"/>
      <c r="U74" s="310"/>
      <c r="V74" s="313"/>
      <c r="W74" s="307"/>
      <c r="X74" s="106">
        <v>58</v>
      </c>
    </row>
    <row r="75" spans="1:24" s="106" customFormat="1" ht="144" x14ac:dyDescent="0.3">
      <c r="A75" s="308">
        <v>34</v>
      </c>
      <c r="B75" s="309" t="s">
        <v>56</v>
      </c>
      <c r="C75" s="309" t="s">
        <v>146</v>
      </c>
      <c r="D75" s="309" t="s">
        <v>147</v>
      </c>
      <c r="E75" s="309" t="s">
        <v>327</v>
      </c>
      <c r="F75" s="314">
        <v>45446</v>
      </c>
      <c r="G75" s="309" t="s">
        <v>326</v>
      </c>
      <c r="H75" s="310">
        <v>488728.36</v>
      </c>
      <c r="I75" s="311">
        <f>IF(X75 = 59, H75 + SUM(S75:S75) - SUM(T75:T75) - SUM(P75:P75) - V75,0)</f>
        <v>0</v>
      </c>
      <c r="J75" s="309" t="s">
        <v>323</v>
      </c>
      <c r="K75" s="309" t="s">
        <v>324</v>
      </c>
      <c r="L75" s="309" t="s">
        <v>146</v>
      </c>
      <c r="M75" s="309"/>
      <c r="N75" s="314">
        <v>45474</v>
      </c>
      <c r="O75" s="314" t="s">
        <v>194</v>
      </c>
      <c r="P75" s="310">
        <v>488728.36</v>
      </c>
      <c r="Q75" s="312">
        <v>45481</v>
      </c>
      <c r="R75" s="309"/>
      <c r="S75" s="310"/>
      <c r="T75" s="310"/>
      <c r="U75" s="310"/>
      <c r="V75" s="313"/>
      <c r="W75" s="307"/>
      <c r="X75" s="106">
        <v>59</v>
      </c>
    </row>
    <row r="76" spans="1:24" s="106" customFormat="1" ht="144" x14ac:dyDescent="0.3">
      <c r="A76" s="308">
        <v>35</v>
      </c>
      <c r="B76" s="309" t="s">
        <v>56</v>
      </c>
      <c r="C76" s="309" t="s">
        <v>146</v>
      </c>
      <c r="D76" s="309" t="s">
        <v>147</v>
      </c>
      <c r="E76" s="309" t="s">
        <v>330</v>
      </c>
      <c r="F76" s="318">
        <v>45489</v>
      </c>
      <c r="G76" s="309" t="s">
        <v>329</v>
      </c>
      <c r="H76" s="310">
        <v>19500</v>
      </c>
      <c r="I76" s="311">
        <f>IF(X76 = 60, H76 + SUM(S76:S76) - SUM(T76:T76) - SUM(P76:P76) - V76,0)</f>
        <v>0</v>
      </c>
      <c r="J76" s="309" t="s">
        <v>331</v>
      </c>
      <c r="K76" s="309" t="s">
        <v>332</v>
      </c>
      <c r="L76" s="309" t="s">
        <v>146</v>
      </c>
      <c r="M76" s="309"/>
      <c r="N76" s="318">
        <v>45489</v>
      </c>
      <c r="O76" s="318" t="s">
        <v>194</v>
      </c>
      <c r="P76" s="310">
        <v>19500</v>
      </c>
      <c r="Q76" s="312">
        <v>45489</v>
      </c>
      <c r="R76" s="309"/>
      <c r="S76" s="310"/>
      <c r="T76" s="310"/>
      <c r="U76" s="310"/>
      <c r="V76" s="313"/>
      <c r="W76" s="315"/>
      <c r="X76" s="106">
        <v>60</v>
      </c>
    </row>
    <row r="77" spans="1:24" s="106" customFormat="1" ht="144" x14ac:dyDescent="0.3">
      <c r="A77" s="308">
        <v>36</v>
      </c>
      <c r="B77" s="309" t="s">
        <v>56</v>
      </c>
      <c r="C77" s="309" t="s">
        <v>146</v>
      </c>
      <c r="D77" s="309" t="s">
        <v>147</v>
      </c>
      <c r="E77" s="309" t="s">
        <v>335</v>
      </c>
      <c r="F77" s="345">
        <v>45492</v>
      </c>
      <c r="G77" s="309" t="s">
        <v>336</v>
      </c>
      <c r="H77" s="310">
        <v>47600</v>
      </c>
      <c r="I77" s="311">
        <f>IF(X77 = 61, H77 + SUM(S77:S77) - SUM(T77:T77) - SUM(P77:P77) - V77,0)</f>
        <v>0</v>
      </c>
      <c r="J77" s="309" t="s">
        <v>337</v>
      </c>
      <c r="K77" s="309" t="s">
        <v>338</v>
      </c>
      <c r="L77" s="309" t="s">
        <v>146</v>
      </c>
      <c r="M77" s="309"/>
      <c r="N77" s="345">
        <v>45504</v>
      </c>
      <c r="O77" s="345" t="s">
        <v>194</v>
      </c>
      <c r="P77" s="310">
        <v>47600</v>
      </c>
      <c r="Q77" s="312">
        <v>45504</v>
      </c>
      <c r="R77" s="309"/>
      <c r="S77" s="310"/>
      <c r="T77" s="310"/>
      <c r="U77" s="310"/>
      <c r="V77" s="313"/>
      <c r="W77" s="317"/>
      <c r="X77" s="106">
        <v>61</v>
      </c>
    </row>
    <row r="78" spans="1:24" s="106" customFormat="1" ht="144" x14ac:dyDescent="0.3">
      <c r="A78" s="329">
        <v>37</v>
      </c>
      <c r="B78" s="330" t="s">
        <v>56</v>
      </c>
      <c r="C78" s="330" t="s">
        <v>146</v>
      </c>
      <c r="D78" s="330" t="s">
        <v>147</v>
      </c>
      <c r="E78" s="330" t="s">
        <v>36</v>
      </c>
      <c r="F78" s="358">
        <v>45492</v>
      </c>
      <c r="G78" s="330" t="s">
        <v>339</v>
      </c>
      <c r="H78" s="331">
        <v>33000</v>
      </c>
      <c r="I78" s="332">
        <f>IF(X78 = 62, H78 + SUM(S78:S78) - SUM(T78:T78) - SUM(P78:P78) - V78,0)</f>
        <v>0</v>
      </c>
      <c r="J78" s="330" t="s">
        <v>340</v>
      </c>
      <c r="K78" s="330" t="s">
        <v>341</v>
      </c>
      <c r="L78" s="330" t="s">
        <v>146</v>
      </c>
      <c r="M78" s="330"/>
      <c r="N78" s="358">
        <v>45507</v>
      </c>
      <c r="O78" s="358" t="s">
        <v>194</v>
      </c>
      <c r="P78" s="331">
        <v>33000</v>
      </c>
      <c r="Q78" s="341">
        <v>45511</v>
      </c>
      <c r="R78" s="330"/>
      <c r="S78" s="331"/>
      <c r="T78" s="331"/>
      <c r="U78" s="331"/>
      <c r="V78" s="336"/>
      <c r="W78" s="337"/>
      <c r="X78" s="106">
        <v>62</v>
      </c>
    </row>
    <row r="79" spans="1:24" s="106" customFormat="1" ht="144" x14ac:dyDescent="0.3">
      <c r="A79" s="329">
        <v>38</v>
      </c>
      <c r="B79" s="330" t="s">
        <v>56</v>
      </c>
      <c r="C79" s="330" t="s">
        <v>146</v>
      </c>
      <c r="D79" s="330" t="s">
        <v>147</v>
      </c>
      <c r="E79" s="330" t="s">
        <v>342</v>
      </c>
      <c r="F79" s="358">
        <v>45498</v>
      </c>
      <c r="G79" s="330" t="s">
        <v>343</v>
      </c>
      <c r="H79" s="331">
        <v>15299.3</v>
      </c>
      <c r="I79" s="332">
        <f>IF(X79 = 63, H79 + SUM(S79:S79) - SUM(T79:T79) - SUM(P79:P79) - V79,0)</f>
        <v>0</v>
      </c>
      <c r="J79" s="330" t="s">
        <v>344</v>
      </c>
      <c r="K79" s="330" t="s">
        <v>345</v>
      </c>
      <c r="L79" s="330" t="s">
        <v>146</v>
      </c>
      <c r="M79" s="330"/>
      <c r="N79" s="358">
        <v>45498</v>
      </c>
      <c r="O79" s="358" t="s">
        <v>165</v>
      </c>
      <c r="P79" s="331">
        <v>15299.3</v>
      </c>
      <c r="Q79" s="341"/>
      <c r="R79" s="330"/>
      <c r="S79" s="331"/>
      <c r="T79" s="331"/>
      <c r="U79" s="331"/>
      <c r="V79" s="336"/>
      <c r="W79" s="337"/>
      <c r="X79" s="106">
        <v>63</v>
      </c>
    </row>
    <row r="80" spans="1:24" s="106" customFormat="1" ht="144" x14ac:dyDescent="0.3">
      <c r="A80" s="329">
        <v>39</v>
      </c>
      <c r="B80" s="330" t="s">
        <v>56</v>
      </c>
      <c r="C80" s="330" t="s">
        <v>146</v>
      </c>
      <c r="D80" s="330" t="s">
        <v>147</v>
      </c>
      <c r="E80" s="330" t="s">
        <v>346</v>
      </c>
      <c r="F80" s="358">
        <v>45523</v>
      </c>
      <c r="G80" s="330" t="s">
        <v>350</v>
      </c>
      <c r="H80" s="331">
        <v>24900.799999999999</v>
      </c>
      <c r="I80" s="332">
        <f>IF(X80 = 64, H80 + SUM(S80:S80) - SUM(T80:T80) - SUM(P80:P80) - V80,0)</f>
        <v>0</v>
      </c>
      <c r="J80" s="330" t="s">
        <v>351</v>
      </c>
      <c r="K80" s="330" t="s">
        <v>352</v>
      </c>
      <c r="L80" s="330" t="s">
        <v>146</v>
      </c>
      <c r="M80" s="330"/>
      <c r="N80" s="358">
        <v>45523</v>
      </c>
      <c r="O80" s="358" t="s">
        <v>194</v>
      </c>
      <c r="P80" s="331">
        <v>24900.799999999999</v>
      </c>
      <c r="Q80" s="341">
        <v>45527</v>
      </c>
      <c r="R80" s="330"/>
      <c r="S80" s="331"/>
      <c r="T80" s="331"/>
      <c r="U80" s="331"/>
      <c r="V80" s="336"/>
      <c r="W80" s="337"/>
      <c r="X80" s="106">
        <v>64</v>
      </c>
    </row>
    <row r="81" spans="1:24" s="106" customFormat="1" ht="144" x14ac:dyDescent="0.3">
      <c r="A81" s="329">
        <v>40</v>
      </c>
      <c r="B81" s="330" t="s">
        <v>56</v>
      </c>
      <c r="C81" s="330" t="s">
        <v>146</v>
      </c>
      <c r="D81" s="330" t="s">
        <v>147</v>
      </c>
      <c r="E81" s="330" t="s">
        <v>355</v>
      </c>
      <c r="F81" s="358">
        <v>45524</v>
      </c>
      <c r="G81" s="330" t="s">
        <v>354</v>
      </c>
      <c r="H81" s="331">
        <v>48800</v>
      </c>
      <c r="I81" s="332">
        <f>IF(X81 = 65, H81 + SUM(S81:S81) - SUM(T81:T81) - SUM(P81:P81) - V81,0)</f>
        <v>0</v>
      </c>
      <c r="J81" s="330" t="s">
        <v>337</v>
      </c>
      <c r="K81" s="330" t="s">
        <v>353</v>
      </c>
      <c r="L81" s="330" t="s">
        <v>146</v>
      </c>
      <c r="M81" s="330"/>
      <c r="N81" s="358">
        <v>45524</v>
      </c>
      <c r="O81" s="358" t="s">
        <v>194</v>
      </c>
      <c r="P81" s="331">
        <v>48800</v>
      </c>
      <c r="Q81" s="341">
        <v>45527</v>
      </c>
      <c r="R81" s="330"/>
      <c r="S81" s="331"/>
      <c r="T81" s="331"/>
      <c r="U81" s="331"/>
      <c r="V81" s="336"/>
      <c r="W81" s="337"/>
      <c r="X81" s="106">
        <v>65</v>
      </c>
    </row>
    <row r="82" spans="1:24" s="106" customFormat="1" ht="144" x14ac:dyDescent="0.3">
      <c r="A82" s="329">
        <v>41</v>
      </c>
      <c r="B82" s="330" t="s">
        <v>56</v>
      </c>
      <c r="C82" s="330" t="s">
        <v>146</v>
      </c>
      <c r="D82" s="330" t="s">
        <v>147</v>
      </c>
      <c r="E82" s="330" t="s">
        <v>356</v>
      </c>
      <c r="F82" s="358">
        <v>45526</v>
      </c>
      <c r="G82" s="330" t="s">
        <v>357</v>
      </c>
      <c r="H82" s="331">
        <v>10990</v>
      </c>
      <c r="I82" s="332">
        <f>IF(X82 = 66, H82 + SUM(S82:S82) - SUM(T82:T82) - SUM(P82:P82) - V82,0)</f>
        <v>0</v>
      </c>
      <c r="J82" s="330" t="s">
        <v>358</v>
      </c>
      <c r="K82" s="330" t="s">
        <v>359</v>
      </c>
      <c r="L82" s="330" t="s">
        <v>146</v>
      </c>
      <c r="M82" s="330"/>
      <c r="N82" s="358">
        <v>45526</v>
      </c>
      <c r="O82" s="358" t="s">
        <v>194</v>
      </c>
      <c r="P82" s="331">
        <v>10990</v>
      </c>
      <c r="Q82" s="341">
        <v>45527</v>
      </c>
      <c r="R82" s="330"/>
      <c r="S82" s="331"/>
      <c r="T82" s="331"/>
      <c r="U82" s="331"/>
      <c r="V82" s="336"/>
      <c r="W82" s="337"/>
      <c r="X82" s="106">
        <v>66</v>
      </c>
    </row>
    <row r="83" spans="1:24" s="106" customFormat="1" ht="144" x14ac:dyDescent="0.3">
      <c r="A83" s="329">
        <v>42</v>
      </c>
      <c r="B83" s="330" t="s">
        <v>56</v>
      </c>
      <c r="C83" s="330" t="s">
        <v>146</v>
      </c>
      <c r="D83" s="330" t="s">
        <v>147</v>
      </c>
      <c r="E83" s="330" t="s">
        <v>360</v>
      </c>
      <c r="F83" s="358">
        <v>45527</v>
      </c>
      <c r="G83" s="330" t="s">
        <v>361</v>
      </c>
      <c r="H83" s="331">
        <v>19000</v>
      </c>
      <c r="I83" s="332">
        <f>IF(X83 = 67, H83 + SUM(S83:S83) - SUM(T83:T83) - SUM(P83:P83) - V83,0)</f>
        <v>0</v>
      </c>
      <c r="J83" s="330" t="s">
        <v>362</v>
      </c>
      <c r="K83" s="330" t="s">
        <v>363</v>
      </c>
      <c r="L83" s="330" t="s">
        <v>146</v>
      </c>
      <c r="M83" s="330"/>
      <c r="N83" s="358">
        <v>45527</v>
      </c>
      <c r="O83" s="358" t="s">
        <v>194</v>
      </c>
      <c r="P83" s="331">
        <v>19000</v>
      </c>
      <c r="Q83" s="341">
        <v>45533</v>
      </c>
      <c r="R83" s="330"/>
      <c r="S83" s="331"/>
      <c r="T83" s="331"/>
      <c r="U83" s="331"/>
      <c r="V83" s="336"/>
      <c r="W83" s="337"/>
      <c r="X83" s="106">
        <v>67</v>
      </c>
    </row>
    <row r="84" spans="1:24" s="106" customFormat="1" ht="144" x14ac:dyDescent="0.3">
      <c r="A84" s="363">
        <v>43</v>
      </c>
      <c r="B84" s="360" t="s">
        <v>56</v>
      </c>
      <c r="C84" s="360" t="s">
        <v>146</v>
      </c>
      <c r="D84" s="360" t="s">
        <v>147</v>
      </c>
      <c r="E84" s="360" t="s">
        <v>367</v>
      </c>
      <c r="F84" s="369">
        <v>45534</v>
      </c>
      <c r="G84" s="360" t="s">
        <v>368</v>
      </c>
      <c r="H84" s="361">
        <v>25080</v>
      </c>
      <c r="I84" s="362">
        <f>IF(X84 = 68, H84 + SUM(S84:S84) - SUM(T84:T84) - SUM(P84:P84) - V84,0)</f>
        <v>0</v>
      </c>
      <c r="J84" s="360" t="s">
        <v>369</v>
      </c>
      <c r="K84" s="360" t="s">
        <v>370</v>
      </c>
      <c r="L84" s="360" t="s">
        <v>146</v>
      </c>
      <c r="M84" s="360"/>
      <c r="N84" s="369"/>
      <c r="O84" s="369" t="s">
        <v>194</v>
      </c>
      <c r="P84" s="361">
        <v>25080</v>
      </c>
      <c r="Q84" s="368">
        <v>45552</v>
      </c>
      <c r="R84" s="360"/>
      <c r="S84" s="361"/>
      <c r="T84" s="361"/>
      <c r="U84" s="361"/>
      <c r="V84" s="364"/>
      <c r="W84" s="359"/>
      <c r="X84" s="106">
        <v>68</v>
      </c>
    </row>
    <row r="85" spans="1:24" s="106" customFormat="1" ht="144" x14ac:dyDescent="0.3">
      <c r="A85" s="363">
        <v>44</v>
      </c>
      <c r="B85" s="360" t="s">
        <v>56</v>
      </c>
      <c r="C85" s="360" t="s">
        <v>146</v>
      </c>
      <c r="D85" s="360" t="s">
        <v>147</v>
      </c>
      <c r="E85" s="360" t="s">
        <v>301</v>
      </c>
      <c r="F85" s="369">
        <v>45544</v>
      </c>
      <c r="G85" s="360" t="s">
        <v>373</v>
      </c>
      <c r="H85" s="361">
        <v>44473.61</v>
      </c>
      <c r="I85" s="362">
        <f>IF(X85 = 69, H85 + SUM(S85:S85) - SUM(T85:T85) - SUM(P85:P85) - V85,0)</f>
        <v>0</v>
      </c>
      <c r="J85" s="360" t="s">
        <v>323</v>
      </c>
      <c r="K85" s="360" t="s">
        <v>324</v>
      </c>
      <c r="L85" s="360" t="s">
        <v>146</v>
      </c>
      <c r="M85" s="360"/>
      <c r="N85" s="369"/>
      <c r="O85" s="369" t="s">
        <v>194</v>
      </c>
      <c r="P85" s="361">
        <v>44473.61</v>
      </c>
      <c r="Q85" s="368">
        <v>45551</v>
      </c>
      <c r="R85" s="360"/>
      <c r="S85" s="361"/>
      <c r="T85" s="361"/>
      <c r="U85" s="361"/>
      <c r="V85" s="364"/>
      <c r="W85" s="359"/>
      <c r="X85" s="106">
        <v>69</v>
      </c>
    </row>
    <row r="86" spans="1:24" s="106" customFormat="1" ht="144" x14ac:dyDescent="0.3">
      <c r="A86" s="363">
        <v>45</v>
      </c>
      <c r="B86" s="360" t="s">
        <v>56</v>
      </c>
      <c r="C86" s="360" t="s">
        <v>146</v>
      </c>
      <c r="D86" s="360" t="s">
        <v>147</v>
      </c>
      <c r="E86" s="360" t="s">
        <v>375</v>
      </c>
      <c r="F86" s="369">
        <v>45558</v>
      </c>
      <c r="G86" s="360" t="s">
        <v>376</v>
      </c>
      <c r="H86" s="361">
        <v>44600</v>
      </c>
      <c r="I86" s="362">
        <f>IF(X86 = 70, H86 + SUM(S86:S86) - SUM(T86:T86) - SUM(P86:P86) - V86,0)</f>
        <v>0</v>
      </c>
      <c r="J86" s="360" t="s">
        <v>337</v>
      </c>
      <c r="K86" s="360" t="s">
        <v>338</v>
      </c>
      <c r="L86" s="360" t="s">
        <v>146</v>
      </c>
      <c r="M86" s="360"/>
      <c r="N86" s="369"/>
      <c r="O86" s="369" t="s">
        <v>194</v>
      </c>
      <c r="P86" s="361">
        <v>44600</v>
      </c>
      <c r="Q86" s="368">
        <v>45559</v>
      </c>
      <c r="R86" s="360"/>
      <c r="S86" s="361"/>
      <c r="T86" s="361"/>
      <c r="U86" s="361"/>
      <c r="V86" s="364"/>
      <c r="W86" s="359"/>
      <c r="X86" s="106">
        <v>70</v>
      </c>
    </row>
    <row r="87" spans="1:24" s="106" customFormat="1" ht="144" x14ac:dyDescent="0.3">
      <c r="A87" s="386">
        <v>46</v>
      </c>
      <c r="B87" s="385" t="s">
        <v>56</v>
      </c>
      <c r="C87" s="385" t="s">
        <v>146</v>
      </c>
      <c r="D87" s="385" t="s">
        <v>147</v>
      </c>
      <c r="E87" s="385" t="s">
        <v>380</v>
      </c>
      <c r="F87" s="394">
        <v>45558</v>
      </c>
      <c r="G87" s="385" t="s">
        <v>381</v>
      </c>
      <c r="H87" s="388">
        <v>14096.53</v>
      </c>
      <c r="I87" s="389">
        <f>IF(X87 = 71, H87 + SUM(S87:S87) - SUM(T87:T87) - SUM(P87:P87) - V87,0)</f>
        <v>0</v>
      </c>
      <c r="J87" s="385" t="s">
        <v>382</v>
      </c>
      <c r="K87" s="385" t="s">
        <v>215</v>
      </c>
      <c r="L87" s="385" t="s">
        <v>146</v>
      </c>
      <c r="M87" s="385"/>
      <c r="N87" s="394">
        <v>45560</v>
      </c>
      <c r="O87" s="394" t="s">
        <v>194</v>
      </c>
      <c r="P87" s="388">
        <v>14096.53</v>
      </c>
      <c r="Q87" s="387">
        <v>45569</v>
      </c>
      <c r="R87" s="385"/>
      <c r="S87" s="388"/>
      <c r="T87" s="388"/>
      <c r="U87" s="388"/>
      <c r="V87" s="395"/>
      <c r="W87" s="393"/>
      <c r="X87" s="106">
        <v>71</v>
      </c>
    </row>
    <row r="88" spans="1:24" s="106" customFormat="1" ht="144" x14ac:dyDescent="0.3">
      <c r="A88" s="386">
        <v>47</v>
      </c>
      <c r="B88" s="396" t="s">
        <v>56</v>
      </c>
      <c r="C88" s="396" t="s">
        <v>146</v>
      </c>
      <c r="D88" s="396" t="s">
        <v>147</v>
      </c>
      <c r="E88" s="396" t="s">
        <v>384</v>
      </c>
      <c r="F88" s="398">
        <v>45534</v>
      </c>
      <c r="G88" s="396" t="s">
        <v>223</v>
      </c>
      <c r="H88" s="388">
        <v>2400</v>
      </c>
      <c r="I88" s="389">
        <f>IF(X88 = 72, H88 + SUM(S88:S88) - SUM(T88:T88) - SUM(P88:P88) - V88,0)</f>
        <v>1800</v>
      </c>
      <c r="J88" s="396" t="s">
        <v>224</v>
      </c>
      <c r="K88" s="396" t="s">
        <v>157</v>
      </c>
      <c r="L88" s="396" t="s">
        <v>146</v>
      </c>
      <c r="M88" s="396"/>
      <c r="N88" s="398">
        <v>45565</v>
      </c>
      <c r="O88" s="398" t="s">
        <v>194</v>
      </c>
      <c r="P88" s="388">
        <v>600</v>
      </c>
      <c r="Q88" s="387">
        <v>45573</v>
      </c>
      <c r="R88" s="396"/>
      <c r="S88" s="388"/>
      <c r="T88" s="388"/>
      <c r="U88" s="388"/>
      <c r="V88" s="395"/>
      <c r="W88" s="393"/>
      <c r="X88" s="106">
        <v>72</v>
      </c>
    </row>
    <row r="89" spans="1:24" s="106" customFormat="1" ht="144" x14ac:dyDescent="0.3">
      <c r="A89" s="386">
        <v>48</v>
      </c>
      <c r="B89" s="399" t="s">
        <v>56</v>
      </c>
      <c r="C89" s="399" t="s">
        <v>146</v>
      </c>
      <c r="D89" s="399" t="s">
        <v>147</v>
      </c>
      <c r="E89" s="399" t="s">
        <v>398</v>
      </c>
      <c r="F89" s="401">
        <v>45580</v>
      </c>
      <c r="G89" s="399" t="s">
        <v>217</v>
      </c>
      <c r="H89" s="388">
        <v>4800</v>
      </c>
      <c r="I89" s="389">
        <f>IF(X89 = 73, H89 + SUM(S89:S89) - SUM(T89:T89) - SUM(P89:P89) - V89,0)</f>
        <v>0</v>
      </c>
      <c r="J89" s="399" t="s">
        <v>397</v>
      </c>
      <c r="K89" s="399" t="s">
        <v>396</v>
      </c>
      <c r="L89" s="399" t="s">
        <v>146</v>
      </c>
      <c r="M89" s="399"/>
      <c r="N89" s="401">
        <v>45582</v>
      </c>
      <c r="O89" s="401" t="s">
        <v>194</v>
      </c>
      <c r="P89" s="388">
        <v>4800</v>
      </c>
      <c r="Q89" s="387">
        <v>45593</v>
      </c>
      <c r="R89" s="399"/>
      <c r="S89" s="388"/>
      <c r="T89" s="388"/>
      <c r="U89" s="388"/>
      <c r="V89" s="395"/>
      <c r="W89" s="393"/>
      <c r="X89" s="106">
        <v>73</v>
      </c>
    </row>
    <row r="90" spans="1:24" x14ac:dyDescent="0.3">
      <c r="A90" s="14"/>
      <c r="B90" s="108"/>
      <c r="C90" s="14"/>
      <c r="D90" s="14"/>
      <c r="E90" s="29"/>
      <c r="F90" s="14"/>
      <c r="G90" s="14"/>
      <c r="H90" s="15"/>
      <c r="I90" s="15"/>
      <c r="J90" s="14"/>
      <c r="K90" s="14"/>
      <c r="L90" s="14"/>
      <c r="M90" s="14"/>
      <c r="N90" s="29"/>
      <c r="O90" s="14"/>
      <c r="P90" s="104"/>
      <c r="Q90" s="29"/>
      <c r="R90" s="16"/>
      <c r="S90" s="16"/>
      <c r="T90" s="16"/>
      <c r="U90" s="29"/>
      <c r="V90" s="104"/>
      <c r="W90" s="16"/>
      <c r="X90" s="8">
        <v>74</v>
      </c>
    </row>
    <row r="91" spans="1:24" s="2" customFormat="1" x14ac:dyDescent="0.3">
      <c r="A91" s="41"/>
      <c r="B91" s="109"/>
      <c r="C91" s="41"/>
      <c r="D91" s="41"/>
      <c r="E91" s="42"/>
      <c r="F91" s="41"/>
      <c r="G91" s="41"/>
      <c r="H91" s="44"/>
      <c r="I91" s="44"/>
      <c r="J91" s="41"/>
      <c r="K91" s="41"/>
      <c r="L91" s="41"/>
      <c r="M91" s="41"/>
      <c r="N91" s="42"/>
      <c r="O91" s="41"/>
      <c r="P91" s="40"/>
      <c r="Q91" s="42"/>
      <c r="U91" s="42"/>
      <c r="V91" s="40"/>
    </row>
    <row r="92" spans="1:24" s="2" customFormat="1" x14ac:dyDescent="0.3">
      <c r="A92" s="41"/>
      <c r="B92" s="109"/>
      <c r="C92" s="41"/>
      <c r="D92" s="41"/>
      <c r="E92" s="42"/>
      <c r="F92" s="41"/>
      <c r="G92" s="41"/>
      <c r="H92" s="44"/>
      <c r="I92" s="44"/>
      <c r="J92" s="41"/>
      <c r="K92" s="41"/>
      <c r="L92" s="41"/>
      <c r="M92" s="41"/>
      <c r="N92" s="42"/>
      <c r="O92" s="41"/>
      <c r="P92" s="40"/>
      <c r="Q92" s="42"/>
      <c r="U92" s="42"/>
      <c r="V92" s="40"/>
    </row>
    <row r="93" spans="1:24" s="2" customFormat="1" x14ac:dyDescent="0.3">
      <c r="A93" s="41"/>
      <c r="B93" s="109"/>
      <c r="C93" s="41"/>
      <c r="D93" s="41"/>
      <c r="E93" s="42"/>
      <c r="F93" s="41"/>
      <c r="G93" s="41"/>
      <c r="H93" s="44"/>
      <c r="I93" s="44"/>
      <c r="J93" s="41"/>
      <c r="K93" s="41"/>
      <c r="L93" s="41"/>
      <c r="M93" s="41"/>
      <c r="N93" s="42"/>
      <c r="O93" s="41"/>
      <c r="P93" s="40"/>
      <c r="Q93" s="42"/>
      <c r="U93" s="42"/>
      <c r="V93" s="40"/>
    </row>
    <row r="94" spans="1:24" s="2" customFormat="1" x14ac:dyDescent="0.3">
      <c r="A94" s="41"/>
      <c r="B94" s="109"/>
      <c r="C94" s="41"/>
      <c r="D94" s="41"/>
      <c r="E94" s="42"/>
      <c r="F94" s="41"/>
      <c r="G94" s="41"/>
      <c r="H94" s="44"/>
      <c r="I94" s="44"/>
      <c r="J94" s="41"/>
      <c r="K94" s="41"/>
      <c r="L94" s="41"/>
      <c r="M94" s="41"/>
      <c r="N94" s="42"/>
      <c r="O94" s="41"/>
      <c r="P94" s="40"/>
      <c r="Q94" s="42"/>
      <c r="U94" s="42"/>
      <c r="V94" s="40"/>
    </row>
    <row r="95" spans="1:24" s="2" customFormat="1" x14ac:dyDescent="0.3">
      <c r="A95" s="41"/>
      <c r="B95" s="109"/>
      <c r="C95" s="41"/>
      <c r="D95" s="41"/>
      <c r="E95" s="42"/>
      <c r="F95" s="41"/>
      <c r="G95" s="41"/>
      <c r="H95" s="44"/>
      <c r="I95" s="44"/>
      <c r="J95" s="41"/>
      <c r="K95" s="41"/>
      <c r="L95" s="41"/>
      <c r="M95" s="41"/>
      <c r="N95" s="42"/>
      <c r="O95" s="41"/>
      <c r="P95" s="40"/>
      <c r="Q95" s="42"/>
      <c r="U95" s="42"/>
      <c r="V95" s="40"/>
    </row>
  </sheetData>
  <sheetProtection password="EB34" sheet="1" objects="1" scenarios="1" formatCells="0" formatColumns="0" formatRows="0"/>
  <mergeCells count="143">
    <mergeCell ref="M42:M47"/>
    <mergeCell ref="D42:D47"/>
    <mergeCell ref="E42:E47"/>
    <mergeCell ref="F42:F47"/>
    <mergeCell ref="G42:G47"/>
    <mergeCell ref="H42:H47"/>
    <mergeCell ref="I42:I47"/>
    <mergeCell ref="J42:J47"/>
    <mergeCell ref="K42:K47"/>
    <mergeCell ref="L42:L47"/>
    <mergeCell ref="A17:A30"/>
    <mergeCell ref="O17:O30"/>
    <mergeCell ref="U17:U30"/>
    <mergeCell ref="B17:B30"/>
    <mergeCell ref="V17:V30"/>
    <mergeCell ref="C17:C30"/>
    <mergeCell ref="W17:W30"/>
    <mergeCell ref="D17:D30"/>
    <mergeCell ref="E17:E30"/>
    <mergeCell ref="F17:F30"/>
    <mergeCell ref="G17:G30"/>
    <mergeCell ref="H17:H30"/>
    <mergeCell ref="I17:I30"/>
    <mergeCell ref="J17:J30"/>
    <mergeCell ref="K17:K30"/>
    <mergeCell ref="L17:L30"/>
    <mergeCell ref="M17:M30"/>
    <mergeCell ref="O39:O41"/>
    <mergeCell ref="U39:U41"/>
    <mergeCell ref="B39:B41"/>
    <mergeCell ref="V39:V41"/>
    <mergeCell ref="C39:C41"/>
    <mergeCell ref="W39:W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S2:U2"/>
    <mergeCell ref="N2:O2"/>
    <mergeCell ref="J4:K4"/>
    <mergeCell ref="M4:N4"/>
    <mergeCell ref="O4:P4"/>
    <mergeCell ref="K2:M2"/>
    <mergeCell ref="A3:E3"/>
    <mergeCell ref="W9:W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M9:M16"/>
    <mergeCell ref="U59:U60"/>
    <mergeCell ref="B59:B60"/>
    <mergeCell ref="V59:V60"/>
    <mergeCell ref="C59:C60"/>
    <mergeCell ref="B55:B58"/>
    <mergeCell ref="V55:V58"/>
    <mergeCell ref="C55:C58"/>
    <mergeCell ref="A9:A16"/>
    <mergeCell ref="O9:O16"/>
    <mergeCell ref="U9:U16"/>
    <mergeCell ref="B9:B16"/>
    <mergeCell ref="V9:V16"/>
    <mergeCell ref="C9:C16"/>
    <mergeCell ref="F59:F60"/>
    <mergeCell ref="G59:G60"/>
    <mergeCell ref="H59:H60"/>
    <mergeCell ref="I59:I60"/>
    <mergeCell ref="J59:J60"/>
    <mergeCell ref="K59:K60"/>
    <mergeCell ref="L59:L60"/>
    <mergeCell ref="M59:M60"/>
    <mergeCell ref="A59:A60"/>
    <mergeCell ref="A55:A58"/>
    <mergeCell ref="A39:A41"/>
    <mergeCell ref="W55:W58"/>
    <mergeCell ref="D55:D58"/>
    <mergeCell ref="E55:E58"/>
    <mergeCell ref="F55:F58"/>
    <mergeCell ref="G55:G58"/>
    <mergeCell ref="H55:H58"/>
    <mergeCell ref="I55:I58"/>
    <mergeCell ref="J55:J58"/>
    <mergeCell ref="K55:K58"/>
    <mergeCell ref="L55:L58"/>
    <mergeCell ref="M55:M58"/>
    <mergeCell ref="O55:O58"/>
    <mergeCell ref="U55:U58"/>
    <mergeCell ref="G71:G72"/>
    <mergeCell ref="H71:H72"/>
    <mergeCell ref="I71:I72"/>
    <mergeCell ref="J71:J72"/>
    <mergeCell ref="K71:K72"/>
    <mergeCell ref="L71:L72"/>
    <mergeCell ref="M71:M72"/>
    <mergeCell ref="W69:W70"/>
    <mergeCell ref="D69:D70"/>
    <mergeCell ref="E69:E70"/>
    <mergeCell ref="F69:F70"/>
    <mergeCell ref="G69:G70"/>
    <mergeCell ref="H69:H70"/>
    <mergeCell ref="I69:I70"/>
    <mergeCell ref="O69:O70"/>
    <mergeCell ref="U69:U70"/>
    <mergeCell ref="V69:V70"/>
    <mergeCell ref="J69:J70"/>
    <mergeCell ref="K69:K70"/>
    <mergeCell ref="L69:L70"/>
    <mergeCell ref="M69:M70"/>
    <mergeCell ref="A42:A47"/>
    <mergeCell ref="O42:O47"/>
    <mergeCell ref="U42:U47"/>
    <mergeCell ref="B42:B47"/>
    <mergeCell ref="V42:V47"/>
    <mergeCell ref="C42:C47"/>
    <mergeCell ref="W42:W47"/>
    <mergeCell ref="A71:A72"/>
    <mergeCell ref="O71:O72"/>
    <mergeCell ref="U71:U72"/>
    <mergeCell ref="B71:B72"/>
    <mergeCell ref="V71:V72"/>
    <mergeCell ref="C71:C72"/>
    <mergeCell ref="A69:A70"/>
    <mergeCell ref="B69:B70"/>
    <mergeCell ref="C69:C70"/>
    <mergeCell ref="W59:W60"/>
    <mergeCell ref="D59:D60"/>
    <mergeCell ref="E59:E60"/>
    <mergeCell ref="O59:O60"/>
    <mergeCell ref="W71:W72"/>
    <mergeCell ref="D71:D72"/>
    <mergeCell ref="E71:E72"/>
    <mergeCell ref="F71:F7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238"/>
  <sheetViews>
    <sheetView showGridLines="0" tabSelected="1" topLeftCell="I1" zoomScale="60" zoomScaleNormal="60" workbookViewId="0">
      <pane ySplit="8" topLeftCell="A232" activePane="bottomLeft" state="frozen"/>
      <selection pane="bottomLeft" activeCell="R232" sqref="R232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709" t="s">
        <v>24</v>
      </c>
      <c r="G2" s="710"/>
      <c r="H2" s="98">
        <f>SUM(H9:H9999)</f>
        <v>4866248.5999999996</v>
      </c>
      <c r="I2" s="86"/>
      <c r="J2" s="39"/>
      <c r="N2" s="565" t="s">
        <v>137</v>
      </c>
      <c r="O2" s="567"/>
      <c r="P2" s="87">
        <f>SUM(P9:P9999)</f>
        <v>3171129.83</v>
      </c>
      <c r="R2" s="86"/>
      <c r="S2" s="565" t="s">
        <v>45</v>
      </c>
      <c r="T2" s="566"/>
      <c r="U2" s="567"/>
      <c r="V2" s="88">
        <f>SUM(V9:V9999)</f>
        <v>374152.59000000008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60" customHeight="1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7" customFormat="1" ht="108" customHeight="1" x14ac:dyDescent="0.3">
      <c r="A9" s="743">
        <v>1</v>
      </c>
      <c r="B9" s="727" t="s">
        <v>56</v>
      </c>
      <c r="C9" s="727" t="s">
        <v>146</v>
      </c>
      <c r="D9" s="727" t="s">
        <v>147</v>
      </c>
      <c r="E9" s="727" t="s">
        <v>110</v>
      </c>
      <c r="F9" s="737">
        <v>45289</v>
      </c>
      <c r="G9" s="739" t="s">
        <v>164</v>
      </c>
      <c r="H9" s="741">
        <v>316800</v>
      </c>
      <c r="I9" s="721">
        <f>IF(X9 = 18, H9 + SUM(S9:S10) - SUM(T9:T10) - SUM(P9:P10) - V9,0)</f>
        <v>0</v>
      </c>
      <c r="J9" s="723">
        <v>2311299612</v>
      </c>
      <c r="K9" s="725" t="s">
        <v>193</v>
      </c>
      <c r="L9" s="727" t="s">
        <v>146</v>
      </c>
      <c r="M9" s="727"/>
      <c r="N9" s="157">
        <v>45322</v>
      </c>
      <c r="O9" s="737" t="s">
        <v>194</v>
      </c>
      <c r="P9" s="151">
        <v>95254.25</v>
      </c>
      <c r="Q9" s="152">
        <v>45330</v>
      </c>
      <c r="R9" s="153"/>
      <c r="S9" s="151"/>
      <c r="T9" s="151"/>
      <c r="U9" s="737">
        <v>45366</v>
      </c>
      <c r="V9" s="717">
        <v>121670</v>
      </c>
      <c r="W9" s="735"/>
      <c r="X9" s="107">
        <v>18</v>
      </c>
    </row>
    <row r="10" spans="1:24" s="2" customFormat="1" x14ac:dyDescent="0.3">
      <c r="A10" s="744"/>
      <c r="B10" s="728"/>
      <c r="C10" s="728"/>
      <c r="D10" s="728"/>
      <c r="E10" s="728"/>
      <c r="F10" s="738"/>
      <c r="G10" s="740"/>
      <c r="H10" s="742"/>
      <c r="I10" s="722"/>
      <c r="J10" s="724"/>
      <c r="K10" s="726"/>
      <c r="L10" s="728"/>
      <c r="M10" s="728"/>
      <c r="N10" s="158">
        <v>45351</v>
      </c>
      <c r="O10" s="738"/>
      <c r="P10" s="154">
        <v>99875.75</v>
      </c>
      <c r="Q10" s="155">
        <v>45357</v>
      </c>
      <c r="R10" s="156"/>
      <c r="S10" s="154"/>
      <c r="T10" s="154"/>
      <c r="U10" s="738"/>
      <c r="V10" s="718"/>
      <c r="W10" s="736"/>
      <c r="X10" s="2">
        <v>18</v>
      </c>
    </row>
    <row r="11" spans="1:24" s="107" customFormat="1" ht="36" customHeight="1" x14ac:dyDescent="0.3">
      <c r="A11" s="497">
        <v>2</v>
      </c>
      <c r="B11" s="506" t="s">
        <v>56</v>
      </c>
      <c r="C11" s="506" t="s">
        <v>146</v>
      </c>
      <c r="D11" s="506" t="s">
        <v>147</v>
      </c>
      <c r="E11" s="506" t="s">
        <v>113</v>
      </c>
      <c r="F11" s="500">
        <v>45289</v>
      </c>
      <c r="G11" s="750" t="s">
        <v>166</v>
      </c>
      <c r="H11" s="503">
        <v>38000</v>
      </c>
      <c r="I11" s="579">
        <f>IF(X11 = 19, H11 + SUM(S11:S20) - SUM(T11:T20) - SUM(P11:P20) - V11,0)</f>
        <v>9983.3999999999978</v>
      </c>
      <c r="J11" s="753">
        <v>2353246210</v>
      </c>
      <c r="K11" s="756" t="s">
        <v>150</v>
      </c>
      <c r="L11" s="506" t="s">
        <v>146</v>
      </c>
      <c r="M11" s="506"/>
      <c r="N11" s="434">
        <v>45308</v>
      </c>
      <c r="O11" s="500" t="s">
        <v>167</v>
      </c>
      <c r="P11" s="425">
        <v>1314.6</v>
      </c>
      <c r="Q11" s="426">
        <v>45324</v>
      </c>
      <c r="R11" s="427"/>
      <c r="S11" s="425"/>
      <c r="T11" s="425"/>
      <c r="U11" s="503"/>
      <c r="V11" s="747"/>
      <c r="W11" s="512"/>
      <c r="X11" s="107">
        <v>19</v>
      </c>
    </row>
    <row r="12" spans="1:24" s="2" customFormat="1" x14ac:dyDescent="0.3">
      <c r="A12" s="498"/>
      <c r="B12" s="507"/>
      <c r="C12" s="507"/>
      <c r="D12" s="507"/>
      <c r="E12" s="507"/>
      <c r="F12" s="501"/>
      <c r="G12" s="751"/>
      <c r="H12" s="504"/>
      <c r="I12" s="580"/>
      <c r="J12" s="754"/>
      <c r="K12" s="757"/>
      <c r="L12" s="507"/>
      <c r="M12" s="507"/>
      <c r="N12" s="435">
        <v>45337</v>
      </c>
      <c r="O12" s="501"/>
      <c r="P12" s="428">
        <v>2741.88</v>
      </c>
      <c r="Q12" s="429">
        <v>45349</v>
      </c>
      <c r="R12" s="430"/>
      <c r="S12" s="428"/>
      <c r="T12" s="428"/>
      <c r="U12" s="504"/>
      <c r="V12" s="748"/>
      <c r="W12" s="513"/>
      <c r="X12" s="2">
        <v>19</v>
      </c>
    </row>
    <row r="13" spans="1:24" s="2" customFormat="1" x14ac:dyDescent="0.3">
      <c r="A13" s="498"/>
      <c r="B13" s="507"/>
      <c r="C13" s="507"/>
      <c r="D13" s="507"/>
      <c r="E13" s="507"/>
      <c r="F13" s="501"/>
      <c r="G13" s="751"/>
      <c r="H13" s="504"/>
      <c r="I13" s="580"/>
      <c r="J13" s="754"/>
      <c r="K13" s="757"/>
      <c r="L13" s="507"/>
      <c r="M13" s="507"/>
      <c r="N13" s="435">
        <v>45365</v>
      </c>
      <c r="O13" s="501"/>
      <c r="P13" s="428">
        <v>2253.6</v>
      </c>
      <c r="Q13" s="429">
        <v>45366</v>
      </c>
      <c r="R13" s="430"/>
      <c r="S13" s="428"/>
      <c r="T13" s="428"/>
      <c r="U13" s="504"/>
      <c r="V13" s="748"/>
      <c r="W13" s="513"/>
      <c r="X13" s="2">
        <v>19</v>
      </c>
    </row>
    <row r="14" spans="1:24" s="2" customFormat="1" x14ac:dyDescent="0.3">
      <c r="A14" s="498"/>
      <c r="B14" s="507"/>
      <c r="C14" s="507"/>
      <c r="D14" s="507"/>
      <c r="E14" s="507"/>
      <c r="F14" s="501"/>
      <c r="G14" s="751"/>
      <c r="H14" s="504"/>
      <c r="I14" s="580"/>
      <c r="J14" s="754"/>
      <c r="K14" s="757"/>
      <c r="L14" s="507"/>
      <c r="M14" s="507"/>
      <c r="N14" s="435">
        <v>45400</v>
      </c>
      <c r="O14" s="501"/>
      <c r="P14" s="428">
        <v>4056.48</v>
      </c>
      <c r="Q14" s="429">
        <v>45406</v>
      </c>
      <c r="R14" s="430"/>
      <c r="S14" s="428"/>
      <c r="T14" s="428"/>
      <c r="U14" s="504"/>
      <c r="V14" s="748"/>
      <c r="W14" s="513"/>
      <c r="X14" s="2">
        <v>19</v>
      </c>
    </row>
    <row r="15" spans="1:24" s="2" customFormat="1" x14ac:dyDescent="0.3">
      <c r="A15" s="498"/>
      <c r="B15" s="507"/>
      <c r="C15" s="507"/>
      <c r="D15" s="507"/>
      <c r="E15" s="507"/>
      <c r="F15" s="501"/>
      <c r="G15" s="751"/>
      <c r="H15" s="504"/>
      <c r="I15" s="580"/>
      <c r="J15" s="754"/>
      <c r="K15" s="757"/>
      <c r="L15" s="507"/>
      <c r="M15" s="507"/>
      <c r="N15" s="435">
        <v>45429</v>
      </c>
      <c r="O15" s="501"/>
      <c r="P15" s="428">
        <v>3868.68</v>
      </c>
      <c r="Q15" s="429">
        <v>45440</v>
      </c>
      <c r="R15" s="430"/>
      <c r="S15" s="428"/>
      <c r="T15" s="428"/>
      <c r="U15" s="504"/>
      <c r="V15" s="748"/>
      <c r="W15" s="513"/>
      <c r="X15" s="2">
        <v>19</v>
      </c>
    </row>
    <row r="16" spans="1:24" s="2" customFormat="1" x14ac:dyDescent="0.3">
      <c r="A16" s="498"/>
      <c r="B16" s="507"/>
      <c r="C16" s="507"/>
      <c r="D16" s="507"/>
      <c r="E16" s="507"/>
      <c r="F16" s="501"/>
      <c r="G16" s="751"/>
      <c r="H16" s="504"/>
      <c r="I16" s="580"/>
      <c r="J16" s="754"/>
      <c r="K16" s="757"/>
      <c r="L16" s="507"/>
      <c r="M16" s="507"/>
      <c r="N16" s="435">
        <v>45461</v>
      </c>
      <c r="O16" s="501"/>
      <c r="P16" s="428">
        <v>3605.76</v>
      </c>
      <c r="Q16" s="429">
        <v>45470</v>
      </c>
      <c r="R16" s="430"/>
      <c r="S16" s="428"/>
      <c r="T16" s="428"/>
      <c r="U16" s="504"/>
      <c r="V16" s="748"/>
      <c r="W16" s="513"/>
      <c r="X16" s="2">
        <v>19</v>
      </c>
    </row>
    <row r="17" spans="1:24" s="2" customFormat="1" x14ac:dyDescent="0.3">
      <c r="A17" s="498"/>
      <c r="B17" s="507"/>
      <c r="C17" s="507"/>
      <c r="D17" s="507"/>
      <c r="E17" s="507"/>
      <c r="F17" s="501"/>
      <c r="G17" s="751"/>
      <c r="H17" s="504"/>
      <c r="I17" s="580"/>
      <c r="J17" s="754"/>
      <c r="K17" s="757"/>
      <c r="L17" s="507"/>
      <c r="M17" s="507"/>
      <c r="N17" s="435">
        <v>45489</v>
      </c>
      <c r="O17" s="501"/>
      <c r="P17" s="428">
        <v>2764.64</v>
      </c>
      <c r="Q17" s="429">
        <v>45512</v>
      </c>
      <c r="R17" s="430"/>
      <c r="S17" s="428"/>
      <c r="T17" s="428"/>
      <c r="U17" s="504"/>
      <c r="V17" s="748"/>
      <c r="W17" s="513"/>
      <c r="X17" s="2">
        <v>19</v>
      </c>
    </row>
    <row r="18" spans="1:24" s="2" customFormat="1" x14ac:dyDescent="0.3">
      <c r="A18" s="498"/>
      <c r="B18" s="507"/>
      <c r="C18" s="507"/>
      <c r="D18" s="507"/>
      <c r="E18" s="507"/>
      <c r="F18" s="501"/>
      <c r="G18" s="751"/>
      <c r="H18" s="504"/>
      <c r="I18" s="580"/>
      <c r="J18" s="754"/>
      <c r="K18" s="757"/>
      <c r="L18" s="507"/>
      <c r="M18" s="507"/>
      <c r="N18" s="435">
        <v>45525</v>
      </c>
      <c r="O18" s="501"/>
      <c r="P18" s="428">
        <v>617.58000000000004</v>
      </c>
      <c r="Q18" s="429">
        <v>45530</v>
      </c>
      <c r="R18" s="430"/>
      <c r="S18" s="428"/>
      <c r="T18" s="428"/>
      <c r="U18" s="504"/>
      <c r="V18" s="748"/>
      <c r="W18" s="513"/>
      <c r="X18" s="2">
        <v>19</v>
      </c>
    </row>
    <row r="19" spans="1:24" s="2" customFormat="1" x14ac:dyDescent="0.3">
      <c r="A19" s="498"/>
      <c r="B19" s="507"/>
      <c r="C19" s="507"/>
      <c r="D19" s="507"/>
      <c r="E19" s="507"/>
      <c r="F19" s="501"/>
      <c r="G19" s="751"/>
      <c r="H19" s="504"/>
      <c r="I19" s="580"/>
      <c r="J19" s="754"/>
      <c r="K19" s="757"/>
      <c r="L19" s="507"/>
      <c r="M19" s="507"/>
      <c r="N19" s="435">
        <v>45552</v>
      </c>
      <c r="O19" s="501"/>
      <c r="P19" s="428">
        <v>2882.04</v>
      </c>
      <c r="Q19" s="429">
        <v>45574</v>
      </c>
      <c r="R19" s="430"/>
      <c r="S19" s="428"/>
      <c r="T19" s="428"/>
      <c r="U19" s="504"/>
      <c r="V19" s="748"/>
      <c r="W19" s="513"/>
      <c r="X19" s="2">
        <v>19</v>
      </c>
    </row>
    <row r="20" spans="1:24" s="2" customFormat="1" x14ac:dyDescent="0.3">
      <c r="A20" s="499"/>
      <c r="B20" s="508"/>
      <c r="C20" s="508"/>
      <c r="D20" s="508"/>
      <c r="E20" s="508"/>
      <c r="F20" s="502"/>
      <c r="G20" s="752"/>
      <c r="H20" s="505"/>
      <c r="I20" s="581"/>
      <c r="J20" s="755"/>
      <c r="K20" s="758"/>
      <c r="L20" s="508"/>
      <c r="M20" s="508"/>
      <c r="N20" s="436">
        <v>45580</v>
      </c>
      <c r="O20" s="502"/>
      <c r="P20" s="431">
        <v>3911.34</v>
      </c>
      <c r="Q20" s="432">
        <v>45586</v>
      </c>
      <c r="R20" s="433"/>
      <c r="S20" s="431"/>
      <c r="T20" s="431"/>
      <c r="U20" s="505"/>
      <c r="V20" s="749"/>
      <c r="W20" s="514"/>
      <c r="X20" s="2">
        <v>19</v>
      </c>
    </row>
    <row r="21" spans="1:24" s="107" customFormat="1" ht="37.5" customHeight="1" x14ac:dyDescent="0.3">
      <c r="A21" s="585">
        <v>3</v>
      </c>
      <c r="B21" s="594" t="s">
        <v>56</v>
      </c>
      <c r="C21" s="594" t="s">
        <v>146</v>
      </c>
      <c r="D21" s="594" t="s">
        <v>171</v>
      </c>
      <c r="E21" s="594" t="s">
        <v>172</v>
      </c>
      <c r="F21" s="588">
        <v>45289</v>
      </c>
      <c r="G21" s="603" t="s">
        <v>168</v>
      </c>
      <c r="H21" s="591">
        <v>408918.36</v>
      </c>
      <c r="I21" s="606">
        <f>IF(X21 = 20, H21 + SUM(S21:S46) - SUM(T21:T46) - SUM(P21:P46) - V21,0)</f>
        <v>16514.740000000049</v>
      </c>
      <c r="J21" s="609">
        <v>2308119595</v>
      </c>
      <c r="K21" s="612" t="s">
        <v>149</v>
      </c>
      <c r="L21" s="594" t="s">
        <v>146</v>
      </c>
      <c r="M21" s="594"/>
      <c r="N21" s="422">
        <v>45292</v>
      </c>
      <c r="O21" s="588" t="s">
        <v>169</v>
      </c>
      <c r="P21" s="413">
        <v>14788.98</v>
      </c>
      <c r="Q21" s="414">
        <v>45309</v>
      </c>
      <c r="R21" s="415"/>
      <c r="S21" s="413"/>
      <c r="T21" s="413"/>
      <c r="U21" s="591"/>
      <c r="V21" s="597"/>
      <c r="W21" s="600"/>
      <c r="X21" s="107">
        <v>20</v>
      </c>
    </row>
    <row r="22" spans="1:24" s="2" customFormat="1" x14ac:dyDescent="0.3">
      <c r="A22" s="586"/>
      <c r="B22" s="595"/>
      <c r="C22" s="595"/>
      <c r="D22" s="595"/>
      <c r="E22" s="595"/>
      <c r="F22" s="589"/>
      <c r="G22" s="604"/>
      <c r="H22" s="592"/>
      <c r="I22" s="607"/>
      <c r="J22" s="610"/>
      <c r="K22" s="613"/>
      <c r="L22" s="595"/>
      <c r="M22" s="595"/>
      <c r="N22" s="423">
        <v>45323</v>
      </c>
      <c r="O22" s="589"/>
      <c r="P22" s="416">
        <v>11091.73</v>
      </c>
      <c r="Q22" s="417">
        <v>45323</v>
      </c>
      <c r="R22" s="418"/>
      <c r="S22" s="416"/>
      <c r="T22" s="416"/>
      <c r="U22" s="592"/>
      <c r="V22" s="598"/>
      <c r="W22" s="601"/>
      <c r="X22" s="2">
        <v>20</v>
      </c>
    </row>
    <row r="23" spans="1:24" s="2" customFormat="1" x14ac:dyDescent="0.3">
      <c r="A23" s="586"/>
      <c r="B23" s="595"/>
      <c r="C23" s="595"/>
      <c r="D23" s="595"/>
      <c r="E23" s="595"/>
      <c r="F23" s="589"/>
      <c r="G23" s="604"/>
      <c r="H23" s="592"/>
      <c r="I23" s="607"/>
      <c r="J23" s="610"/>
      <c r="K23" s="613"/>
      <c r="L23" s="595"/>
      <c r="M23" s="595"/>
      <c r="N23" s="423">
        <v>45322</v>
      </c>
      <c r="O23" s="589"/>
      <c r="P23" s="416">
        <v>24763.91</v>
      </c>
      <c r="Q23" s="417">
        <v>45337</v>
      </c>
      <c r="R23" s="418"/>
      <c r="S23" s="416"/>
      <c r="T23" s="416"/>
      <c r="U23" s="592"/>
      <c r="V23" s="598"/>
      <c r="W23" s="601"/>
      <c r="X23" s="2">
        <v>20</v>
      </c>
    </row>
    <row r="24" spans="1:24" s="2" customFormat="1" x14ac:dyDescent="0.3">
      <c r="A24" s="586"/>
      <c r="B24" s="595"/>
      <c r="C24" s="595"/>
      <c r="D24" s="595"/>
      <c r="E24" s="595"/>
      <c r="F24" s="589"/>
      <c r="G24" s="604"/>
      <c r="H24" s="592"/>
      <c r="I24" s="607"/>
      <c r="J24" s="610"/>
      <c r="K24" s="613"/>
      <c r="L24" s="595"/>
      <c r="M24" s="595"/>
      <c r="N24" s="423">
        <v>45323</v>
      </c>
      <c r="O24" s="589"/>
      <c r="P24" s="416">
        <v>23574.47</v>
      </c>
      <c r="Q24" s="417">
        <v>45337</v>
      </c>
      <c r="R24" s="418"/>
      <c r="S24" s="416"/>
      <c r="T24" s="416"/>
      <c r="U24" s="592"/>
      <c r="V24" s="598"/>
      <c r="W24" s="601"/>
      <c r="X24" s="2">
        <v>20</v>
      </c>
    </row>
    <row r="25" spans="1:24" s="2" customFormat="1" x14ac:dyDescent="0.3">
      <c r="A25" s="586"/>
      <c r="B25" s="595"/>
      <c r="C25" s="595"/>
      <c r="D25" s="595"/>
      <c r="E25" s="595"/>
      <c r="F25" s="589"/>
      <c r="G25" s="604"/>
      <c r="H25" s="592"/>
      <c r="I25" s="607"/>
      <c r="J25" s="610"/>
      <c r="K25" s="613"/>
      <c r="L25" s="595"/>
      <c r="M25" s="595"/>
      <c r="N25" s="423">
        <v>45352</v>
      </c>
      <c r="O25" s="589"/>
      <c r="P25" s="416">
        <v>17677.57</v>
      </c>
      <c r="Q25" s="417">
        <v>45352</v>
      </c>
      <c r="R25" s="418"/>
      <c r="S25" s="416"/>
      <c r="T25" s="416"/>
      <c r="U25" s="592"/>
      <c r="V25" s="598"/>
      <c r="W25" s="601"/>
      <c r="X25" s="2">
        <v>20</v>
      </c>
    </row>
    <row r="26" spans="1:24" s="2" customFormat="1" x14ac:dyDescent="0.3">
      <c r="A26" s="586"/>
      <c r="B26" s="595"/>
      <c r="C26" s="595"/>
      <c r="D26" s="595"/>
      <c r="E26" s="595"/>
      <c r="F26" s="589"/>
      <c r="G26" s="604"/>
      <c r="H26" s="592"/>
      <c r="I26" s="607"/>
      <c r="J26" s="610"/>
      <c r="K26" s="613"/>
      <c r="L26" s="595"/>
      <c r="M26" s="595"/>
      <c r="N26" s="423">
        <v>45351</v>
      </c>
      <c r="O26" s="589"/>
      <c r="P26" s="416">
        <v>23828.47</v>
      </c>
      <c r="Q26" s="417">
        <v>45365</v>
      </c>
      <c r="R26" s="418"/>
      <c r="S26" s="416"/>
      <c r="T26" s="416"/>
      <c r="U26" s="592"/>
      <c r="V26" s="598"/>
      <c r="W26" s="601"/>
      <c r="X26" s="2">
        <v>20</v>
      </c>
    </row>
    <row r="27" spans="1:24" s="2" customFormat="1" x14ac:dyDescent="0.3">
      <c r="A27" s="586"/>
      <c r="B27" s="595"/>
      <c r="C27" s="595"/>
      <c r="D27" s="595"/>
      <c r="E27" s="595"/>
      <c r="F27" s="589"/>
      <c r="G27" s="604"/>
      <c r="H27" s="592"/>
      <c r="I27" s="607"/>
      <c r="J27" s="610"/>
      <c r="K27" s="613"/>
      <c r="L27" s="595"/>
      <c r="M27" s="595"/>
      <c r="N27" s="423">
        <v>45352</v>
      </c>
      <c r="O27" s="589"/>
      <c r="P27" s="416">
        <v>25693.51</v>
      </c>
      <c r="Q27" s="417">
        <v>45365</v>
      </c>
      <c r="R27" s="418"/>
      <c r="S27" s="416"/>
      <c r="T27" s="416"/>
      <c r="U27" s="592"/>
      <c r="V27" s="598"/>
      <c r="W27" s="601"/>
      <c r="X27" s="2">
        <v>20</v>
      </c>
    </row>
    <row r="28" spans="1:24" s="2" customFormat="1" x14ac:dyDescent="0.3">
      <c r="A28" s="586"/>
      <c r="B28" s="595"/>
      <c r="C28" s="595"/>
      <c r="D28" s="595"/>
      <c r="E28" s="595"/>
      <c r="F28" s="589"/>
      <c r="G28" s="604"/>
      <c r="H28" s="592"/>
      <c r="I28" s="607"/>
      <c r="J28" s="610"/>
      <c r="K28" s="613"/>
      <c r="L28" s="595"/>
      <c r="M28" s="595"/>
      <c r="N28" s="423">
        <v>45383</v>
      </c>
      <c r="O28" s="589"/>
      <c r="P28" s="416">
        <v>19266.78</v>
      </c>
      <c r="Q28" s="417">
        <v>45383</v>
      </c>
      <c r="R28" s="418"/>
      <c r="S28" s="416"/>
      <c r="T28" s="416"/>
      <c r="U28" s="592"/>
      <c r="V28" s="598"/>
      <c r="W28" s="601"/>
      <c r="X28" s="2">
        <v>20</v>
      </c>
    </row>
    <row r="29" spans="1:24" s="2" customFormat="1" x14ac:dyDescent="0.3">
      <c r="A29" s="586"/>
      <c r="B29" s="595"/>
      <c r="C29" s="595"/>
      <c r="D29" s="595"/>
      <c r="E29" s="595"/>
      <c r="F29" s="589"/>
      <c r="G29" s="604"/>
      <c r="H29" s="592"/>
      <c r="I29" s="607"/>
      <c r="J29" s="610"/>
      <c r="K29" s="613"/>
      <c r="L29" s="595"/>
      <c r="M29" s="595"/>
      <c r="N29" s="423">
        <v>45382</v>
      </c>
      <c r="O29" s="589"/>
      <c r="P29" s="416">
        <v>7373.75</v>
      </c>
      <c r="Q29" s="417">
        <v>45399</v>
      </c>
      <c r="R29" s="418"/>
      <c r="S29" s="416"/>
      <c r="T29" s="416"/>
      <c r="U29" s="592"/>
      <c r="V29" s="598"/>
      <c r="W29" s="601"/>
      <c r="X29" s="2">
        <v>20</v>
      </c>
    </row>
    <row r="30" spans="1:24" s="2" customFormat="1" x14ac:dyDescent="0.3">
      <c r="A30" s="586"/>
      <c r="B30" s="595"/>
      <c r="C30" s="595"/>
      <c r="D30" s="595"/>
      <c r="E30" s="595"/>
      <c r="F30" s="589"/>
      <c r="G30" s="604"/>
      <c r="H30" s="592"/>
      <c r="I30" s="607"/>
      <c r="J30" s="610"/>
      <c r="K30" s="613"/>
      <c r="L30" s="595"/>
      <c r="M30" s="595"/>
      <c r="N30" s="423">
        <v>45383</v>
      </c>
      <c r="O30" s="589"/>
      <c r="P30" s="416">
        <v>22360.69</v>
      </c>
      <c r="Q30" s="417">
        <v>45399</v>
      </c>
      <c r="R30" s="418"/>
      <c r="S30" s="416"/>
      <c r="T30" s="416"/>
      <c r="U30" s="592"/>
      <c r="V30" s="598"/>
      <c r="W30" s="601"/>
      <c r="X30" s="2">
        <v>20</v>
      </c>
    </row>
    <row r="31" spans="1:24" s="2" customFormat="1" x14ac:dyDescent="0.3">
      <c r="A31" s="586"/>
      <c r="B31" s="595"/>
      <c r="C31" s="595"/>
      <c r="D31" s="595"/>
      <c r="E31" s="595"/>
      <c r="F31" s="589"/>
      <c r="G31" s="604"/>
      <c r="H31" s="592"/>
      <c r="I31" s="607"/>
      <c r="J31" s="610"/>
      <c r="K31" s="613"/>
      <c r="L31" s="595"/>
      <c r="M31" s="595"/>
      <c r="N31" s="423">
        <v>45413</v>
      </c>
      <c r="O31" s="589"/>
      <c r="P31" s="416">
        <v>16773.78</v>
      </c>
      <c r="Q31" s="417">
        <v>45415</v>
      </c>
      <c r="R31" s="418"/>
      <c r="S31" s="416"/>
      <c r="T31" s="416"/>
      <c r="U31" s="592"/>
      <c r="V31" s="598"/>
      <c r="W31" s="601"/>
      <c r="X31" s="2">
        <v>20</v>
      </c>
    </row>
    <row r="32" spans="1:24" s="2" customFormat="1" x14ac:dyDescent="0.3">
      <c r="A32" s="586"/>
      <c r="B32" s="595"/>
      <c r="C32" s="595"/>
      <c r="D32" s="595"/>
      <c r="E32" s="595"/>
      <c r="F32" s="589"/>
      <c r="G32" s="604"/>
      <c r="H32" s="592"/>
      <c r="I32" s="607"/>
      <c r="J32" s="610"/>
      <c r="K32" s="613"/>
      <c r="L32" s="595"/>
      <c r="M32" s="595"/>
      <c r="N32" s="423">
        <v>45412</v>
      </c>
      <c r="O32" s="589"/>
      <c r="P32" s="416">
        <v>1878.36</v>
      </c>
      <c r="Q32" s="417">
        <v>45427</v>
      </c>
      <c r="R32" s="418"/>
      <c r="S32" s="416"/>
      <c r="T32" s="416"/>
      <c r="U32" s="592"/>
      <c r="V32" s="598"/>
      <c r="W32" s="601"/>
      <c r="X32" s="2">
        <v>20</v>
      </c>
    </row>
    <row r="33" spans="1:24" s="2" customFormat="1" x14ac:dyDescent="0.3">
      <c r="A33" s="586"/>
      <c r="B33" s="595"/>
      <c r="C33" s="595"/>
      <c r="D33" s="595"/>
      <c r="E33" s="595"/>
      <c r="F33" s="589"/>
      <c r="G33" s="604"/>
      <c r="H33" s="592"/>
      <c r="I33" s="607"/>
      <c r="J33" s="610"/>
      <c r="K33" s="613"/>
      <c r="L33" s="595"/>
      <c r="M33" s="595"/>
      <c r="N33" s="423">
        <v>45413</v>
      </c>
      <c r="O33" s="589"/>
      <c r="P33" s="416">
        <v>19135.13</v>
      </c>
      <c r="Q33" s="417">
        <v>45427</v>
      </c>
      <c r="R33" s="418"/>
      <c r="S33" s="416"/>
      <c r="T33" s="416"/>
      <c r="U33" s="592"/>
      <c r="V33" s="598"/>
      <c r="W33" s="601"/>
      <c r="X33" s="2">
        <v>20</v>
      </c>
    </row>
    <row r="34" spans="1:24" s="2" customFormat="1" x14ac:dyDescent="0.3">
      <c r="A34" s="586"/>
      <c r="B34" s="595"/>
      <c r="C34" s="595"/>
      <c r="D34" s="595"/>
      <c r="E34" s="595"/>
      <c r="F34" s="589"/>
      <c r="G34" s="604"/>
      <c r="H34" s="592"/>
      <c r="I34" s="607"/>
      <c r="J34" s="610"/>
      <c r="K34" s="613"/>
      <c r="L34" s="595"/>
      <c r="M34" s="595"/>
      <c r="N34" s="423">
        <v>45444</v>
      </c>
      <c r="O34" s="589"/>
      <c r="P34" s="416">
        <v>14351.35</v>
      </c>
      <c r="Q34" s="417">
        <v>45446</v>
      </c>
      <c r="R34" s="418"/>
      <c r="S34" s="416"/>
      <c r="T34" s="416"/>
      <c r="U34" s="592"/>
      <c r="V34" s="598"/>
      <c r="W34" s="601"/>
      <c r="X34" s="2">
        <v>20</v>
      </c>
    </row>
    <row r="35" spans="1:24" s="2" customFormat="1" x14ac:dyDescent="0.3">
      <c r="A35" s="586"/>
      <c r="B35" s="595"/>
      <c r="C35" s="595"/>
      <c r="D35" s="595"/>
      <c r="E35" s="595"/>
      <c r="F35" s="589"/>
      <c r="G35" s="604"/>
      <c r="H35" s="592"/>
      <c r="I35" s="607"/>
      <c r="J35" s="610"/>
      <c r="K35" s="613"/>
      <c r="L35" s="595"/>
      <c r="M35" s="595"/>
      <c r="N35" s="423">
        <v>45443</v>
      </c>
      <c r="O35" s="589"/>
      <c r="P35" s="416">
        <v>1715.94</v>
      </c>
      <c r="Q35" s="417">
        <v>45460</v>
      </c>
      <c r="R35" s="418"/>
      <c r="S35" s="416"/>
      <c r="T35" s="416"/>
      <c r="U35" s="592"/>
      <c r="V35" s="598"/>
      <c r="W35" s="601"/>
      <c r="X35" s="2">
        <v>20</v>
      </c>
    </row>
    <row r="36" spans="1:24" s="2" customFormat="1" x14ac:dyDescent="0.3">
      <c r="A36" s="586"/>
      <c r="B36" s="595"/>
      <c r="C36" s="595"/>
      <c r="D36" s="595"/>
      <c r="E36" s="595"/>
      <c r="F36" s="589"/>
      <c r="G36" s="604"/>
      <c r="H36" s="592"/>
      <c r="I36" s="607"/>
      <c r="J36" s="610"/>
      <c r="K36" s="613"/>
      <c r="L36" s="595"/>
      <c r="M36" s="595"/>
      <c r="N36" s="423">
        <v>45444</v>
      </c>
      <c r="O36" s="589"/>
      <c r="P36" s="416">
        <v>16624.34</v>
      </c>
      <c r="Q36" s="417">
        <v>45460</v>
      </c>
      <c r="R36" s="418"/>
      <c r="S36" s="416"/>
      <c r="T36" s="416"/>
      <c r="U36" s="592"/>
      <c r="V36" s="598"/>
      <c r="W36" s="601"/>
      <c r="X36" s="2">
        <v>20</v>
      </c>
    </row>
    <row r="37" spans="1:24" s="2" customFormat="1" x14ac:dyDescent="0.3">
      <c r="A37" s="586"/>
      <c r="B37" s="595"/>
      <c r="C37" s="595"/>
      <c r="D37" s="595"/>
      <c r="E37" s="595"/>
      <c r="F37" s="589"/>
      <c r="G37" s="604"/>
      <c r="H37" s="592"/>
      <c r="I37" s="607"/>
      <c r="J37" s="610"/>
      <c r="K37" s="613"/>
      <c r="L37" s="595"/>
      <c r="M37" s="595"/>
      <c r="N37" s="423">
        <v>45474</v>
      </c>
      <c r="O37" s="589"/>
      <c r="P37" s="416">
        <v>13218.91</v>
      </c>
      <c r="Q37" s="417">
        <v>45475</v>
      </c>
      <c r="R37" s="418"/>
      <c r="S37" s="416"/>
      <c r="T37" s="416"/>
      <c r="U37" s="592"/>
      <c r="V37" s="598"/>
      <c r="W37" s="601"/>
      <c r="X37" s="2">
        <v>20</v>
      </c>
    </row>
    <row r="38" spans="1:24" s="2" customFormat="1" x14ac:dyDescent="0.3">
      <c r="A38" s="586"/>
      <c r="B38" s="595"/>
      <c r="C38" s="595"/>
      <c r="D38" s="595"/>
      <c r="E38" s="595"/>
      <c r="F38" s="589"/>
      <c r="G38" s="604"/>
      <c r="H38" s="592"/>
      <c r="I38" s="607"/>
      <c r="J38" s="610"/>
      <c r="K38" s="613"/>
      <c r="L38" s="595"/>
      <c r="M38" s="595"/>
      <c r="N38" s="423">
        <v>45474</v>
      </c>
      <c r="O38" s="589"/>
      <c r="P38" s="416">
        <v>10769.41</v>
      </c>
      <c r="Q38" s="417">
        <v>45485</v>
      </c>
      <c r="R38" s="418"/>
      <c r="S38" s="416"/>
      <c r="T38" s="416"/>
      <c r="U38" s="592"/>
      <c r="V38" s="598"/>
      <c r="W38" s="601"/>
      <c r="X38" s="2">
        <v>20</v>
      </c>
    </row>
    <row r="39" spans="1:24" s="2" customFormat="1" x14ac:dyDescent="0.3">
      <c r="A39" s="586"/>
      <c r="B39" s="595"/>
      <c r="C39" s="595"/>
      <c r="D39" s="595"/>
      <c r="E39" s="595"/>
      <c r="F39" s="589"/>
      <c r="G39" s="604"/>
      <c r="H39" s="592"/>
      <c r="I39" s="607"/>
      <c r="J39" s="610"/>
      <c r="K39" s="613"/>
      <c r="L39" s="595"/>
      <c r="M39" s="595"/>
      <c r="N39" s="423">
        <v>45505</v>
      </c>
      <c r="O39" s="589"/>
      <c r="P39" s="416">
        <v>8077.06</v>
      </c>
      <c r="Q39" s="417">
        <v>45505</v>
      </c>
      <c r="R39" s="418"/>
      <c r="S39" s="416"/>
      <c r="T39" s="416"/>
      <c r="U39" s="592"/>
      <c r="V39" s="598"/>
      <c r="W39" s="601"/>
      <c r="X39" s="2">
        <v>20</v>
      </c>
    </row>
    <row r="40" spans="1:24" s="2" customFormat="1" x14ac:dyDescent="0.3">
      <c r="A40" s="586"/>
      <c r="B40" s="595"/>
      <c r="C40" s="595"/>
      <c r="D40" s="595"/>
      <c r="E40" s="595"/>
      <c r="F40" s="589"/>
      <c r="G40" s="604"/>
      <c r="H40" s="592"/>
      <c r="I40" s="607"/>
      <c r="J40" s="610"/>
      <c r="K40" s="613"/>
      <c r="L40" s="595"/>
      <c r="M40" s="595"/>
      <c r="N40" s="423">
        <v>45505</v>
      </c>
      <c r="O40" s="589"/>
      <c r="P40" s="416">
        <v>9067.67</v>
      </c>
      <c r="Q40" s="417">
        <v>45519</v>
      </c>
      <c r="R40" s="418"/>
      <c r="S40" s="416"/>
      <c r="T40" s="416"/>
      <c r="U40" s="592"/>
      <c r="V40" s="598"/>
      <c r="W40" s="601"/>
      <c r="X40" s="2">
        <v>20</v>
      </c>
    </row>
    <row r="41" spans="1:24" s="2" customFormat="1" x14ac:dyDescent="0.3">
      <c r="A41" s="586"/>
      <c r="B41" s="595"/>
      <c r="C41" s="595"/>
      <c r="D41" s="595"/>
      <c r="E41" s="595"/>
      <c r="F41" s="589"/>
      <c r="G41" s="604"/>
      <c r="H41" s="592"/>
      <c r="I41" s="607"/>
      <c r="J41" s="610"/>
      <c r="K41" s="613"/>
      <c r="L41" s="595"/>
      <c r="M41" s="595"/>
      <c r="N41" s="423">
        <v>45536</v>
      </c>
      <c r="O41" s="589"/>
      <c r="P41" s="416">
        <v>6793.37</v>
      </c>
      <c r="Q41" s="417">
        <v>45537</v>
      </c>
      <c r="R41" s="418"/>
      <c r="S41" s="416"/>
      <c r="T41" s="416"/>
      <c r="U41" s="592"/>
      <c r="V41" s="598"/>
      <c r="W41" s="601"/>
      <c r="X41" s="2">
        <v>20</v>
      </c>
    </row>
    <row r="42" spans="1:24" s="2" customFormat="1" x14ac:dyDescent="0.3">
      <c r="A42" s="586"/>
      <c r="B42" s="595"/>
      <c r="C42" s="595"/>
      <c r="D42" s="595"/>
      <c r="E42" s="595"/>
      <c r="F42" s="589"/>
      <c r="G42" s="604"/>
      <c r="H42" s="592"/>
      <c r="I42" s="607"/>
      <c r="J42" s="610"/>
      <c r="K42" s="613"/>
      <c r="L42" s="595"/>
      <c r="M42" s="595"/>
      <c r="N42" s="423">
        <v>45536</v>
      </c>
      <c r="O42" s="589"/>
      <c r="P42" s="416">
        <v>7139.33</v>
      </c>
      <c r="Q42" s="417">
        <v>45551</v>
      </c>
      <c r="R42" s="418"/>
      <c r="S42" s="416"/>
      <c r="T42" s="416"/>
      <c r="U42" s="592"/>
      <c r="V42" s="598"/>
      <c r="W42" s="601"/>
      <c r="X42" s="2">
        <v>20</v>
      </c>
    </row>
    <row r="43" spans="1:24" s="2" customFormat="1" x14ac:dyDescent="0.3">
      <c r="A43" s="586"/>
      <c r="B43" s="595"/>
      <c r="C43" s="595"/>
      <c r="D43" s="595"/>
      <c r="E43" s="595"/>
      <c r="F43" s="589"/>
      <c r="G43" s="604"/>
      <c r="H43" s="592"/>
      <c r="I43" s="607"/>
      <c r="J43" s="610"/>
      <c r="K43" s="613"/>
      <c r="L43" s="595"/>
      <c r="M43" s="595"/>
      <c r="N43" s="423">
        <v>45566</v>
      </c>
      <c r="O43" s="589"/>
      <c r="P43" s="416">
        <v>5354.5</v>
      </c>
      <c r="Q43" s="417">
        <v>45568</v>
      </c>
      <c r="R43" s="418"/>
      <c r="S43" s="416"/>
      <c r="T43" s="416"/>
      <c r="U43" s="592"/>
      <c r="V43" s="598"/>
      <c r="W43" s="601"/>
      <c r="X43" s="2">
        <v>20</v>
      </c>
    </row>
    <row r="44" spans="1:24" s="2" customFormat="1" x14ac:dyDescent="0.3">
      <c r="A44" s="586"/>
      <c r="B44" s="595"/>
      <c r="C44" s="595"/>
      <c r="D44" s="595"/>
      <c r="E44" s="595"/>
      <c r="F44" s="589"/>
      <c r="G44" s="604"/>
      <c r="H44" s="592"/>
      <c r="I44" s="607"/>
      <c r="J44" s="610"/>
      <c r="K44" s="613"/>
      <c r="L44" s="595"/>
      <c r="M44" s="595"/>
      <c r="N44" s="423">
        <v>45565</v>
      </c>
      <c r="O44" s="589"/>
      <c r="P44" s="416">
        <v>31230.31</v>
      </c>
      <c r="Q44" s="417">
        <v>45580</v>
      </c>
      <c r="R44" s="418"/>
      <c r="S44" s="416"/>
      <c r="T44" s="416"/>
      <c r="U44" s="592"/>
      <c r="V44" s="598"/>
      <c r="W44" s="601"/>
      <c r="X44" s="2">
        <v>20</v>
      </c>
    </row>
    <row r="45" spans="1:24" s="2" customFormat="1" x14ac:dyDescent="0.3">
      <c r="A45" s="586"/>
      <c r="B45" s="595"/>
      <c r="C45" s="595"/>
      <c r="D45" s="595"/>
      <c r="E45" s="595"/>
      <c r="F45" s="589"/>
      <c r="G45" s="604"/>
      <c r="H45" s="592"/>
      <c r="I45" s="607"/>
      <c r="J45" s="610"/>
      <c r="K45" s="613"/>
      <c r="L45" s="595"/>
      <c r="M45" s="595"/>
      <c r="N45" s="423">
        <v>45566</v>
      </c>
      <c r="O45" s="589"/>
      <c r="P45" s="416">
        <v>22777.66</v>
      </c>
      <c r="Q45" s="417">
        <v>45580</v>
      </c>
      <c r="R45" s="418"/>
      <c r="S45" s="416"/>
      <c r="T45" s="416"/>
      <c r="U45" s="592"/>
      <c r="V45" s="598"/>
      <c r="W45" s="601"/>
      <c r="X45" s="2">
        <v>20</v>
      </c>
    </row>
    <row r="46" spans="1:24" s="2" customFormat="1" x14ac:dyDescent="0.3">
      <c r="A46" s="587"/>
      <c r="B46" s="596"/>
      <c r="C46" s="596"/>
      <c r="D46" s="596"/>
      <c r="E46" s="596"/>
      <c r="F46" s="590"/>
      <c r="G46" s="605"/>
      <c r="H46" s="593"/>
      <c r="I46" s="608"/>
      <c r="J46" s="611"/>
      <c r="K46" s="614"/>
      <c r="L46" s="596"/>
      <c r="M46" s="596"/>
      <c r="N46" s="424">
        <v>45597</v>
      </c>
      <c r="O46" s="590"/>
      <c r="P46" s="419">
        <v>17076.64</v>
      </c>
      <c r="Q46" s="420"/>
      <c r="R46" s="421"/>
      <c r="S46" s="419"/>
      <c r="T46" s="419"/>
      <c r="U46" s="593"/>
      <c r="V46" s="599"/>
      <c r="W46" s="602"/>
      <c r="X46" s="2">
        <v>20</v>
      </c>
    </row>
    <row r="47" spans="1:24" s="107" customFormat="1" ht="72" customHeight="1" x14ac:dyDescent="0.3">
      <c r="A47" s="497">
        <v>4</v>
      </c>
      <c r="B47" s="506" t="s">
        <v>56</v>
      </c>
      <c r="C47" s="506" t="s">
        <v>146</v>
      </c>
      <c r="D47" s="506" t="s">
        <v>147</v>
      </c>
      <c r="E47" s="506" t="s">
        <v>173</v>
      </c>
      <c r="F47" s="500">
        <v>45289</v>
      </c>
      <c r="G47" s="750" t="s">
        <v>148</v>
      </c>
      <c r="H47" s="503">
        <v>46882.29</v>
      </c>
      <c r="I47" s="579">
        <f>IF(X47 = 21, H47 + SUM(S47:S55) - SUM(T47:T55) - SUM(P47:P55) - V47,0)</f>
        <v>12127.020000000004</v>
      </c>
      <c r="J47" s="753">
        <v>2308131994</v>
      </c>
      <c r="K47" s="756" t="s">
        <v>162</v>
      </c>
      <c r="L47" s="506" t="s">
        <v>146</v>
      </c>
      <c r="M47" s="506"/>
      <c r="N47" s="434">
        <v>45322</v>
      </c>
      <c r="O47" s="500" t="s">
        <v>170</v>
      </c>
      <c r="P47" s="425">
        <v>3771.37</v>
      </c>
      <c r="Q47" s="426">
        <v>45324</v>
      </c>
      <c r="R47" s="427"/>
      <c r="S47" s="425"/>
      <c r="T47" s="425"/>
      <c r="U47" s="503"/>
      <c r="V47" s="747"/>
      <c r="W47" s="512"/>
      <c r="X47" s="107">
        <v>21</v>
      </c>
    </row>
    <row r="48" spans="1:24" s="2" customFormat="1" x14ac:dyDescent="0.3">
      <c r="A48" s="498"/>
      <c r="B48" s="507"/>
      <c r="C48" s="507"/>
      <c r="D48" s="507"/>
      <c r="E48" s="507"/>
      <c r="F48" s="501"/>
      <c r="G48" s="751"/>
      <c r="H48" s="504"/>
      <c r="I48" s="580"/>
      <c r="J48" s="754"/>
      <c r="K48" s="757"/>
      <c r="L48" s="507"/>
      <c r="M48" s="507"/>
      <c r="N48" s="435">
        <v>45351</v>
      </c>
      <c r="O48" s="501"/>
      <c r="P48" s="428">
        <v>3771.37</v>
      </c>
      <c r="Q48" s="429">
        <v>45357</v>
      </c>
      <c r="R48" s="430"/>
      <c r="S48" s="428"/>
      <c r="T48" s="428"/>
      <c r="U48" s="504"/>
      <c r="V48" s="748"/>
      <c r="W48" s="513"/>
      <c r="X48" s="2">
        <v>21</v>
      </c>
    </row>
    <row r="49" spans="1:24" s="2" customFormat="1" x14ac:dyDescent="0.3">
      <c r="A49" s="498"/>
      <c r="B49" s="507"/>
      <c r="C49" s="507"/>
      <c r="D49" s="507"/>
      <c r="E49" s="507"/>
      <c r="F49" s="501"/>
      <c r="G49" s="751"/>
      <c r="H49" s="504"/>
      <c r="I49" s="580"/>
      <c r="J49" s="754"/>
      <c r="K49" s="757"/>
      <c r="L49" s="507"/>
      <c r="M49" s="507"/>
      <c r="N49" s="435">
        <v>45382</v>
      </c>
      <c r="O49" s="501"/>
      <c r="P49" s="428">
        <v>3771.37</v>
      </c>
      <c r="Q49" s="429">
        <v>45383</v>
      </c>
      <c r="R49" s="430"/>
      <c r="S49" s="428"/>
      <c r="T49" s="428"/>
      <c r="U49" s="504"/>
      <c r="V49" s="748"/>
      <c r="W49" s="513"/>
      <c r="X49" s="2">
        <v>21</v>
      </c>
    </row>
    <row r="50" spans="1:24" s="2" customFormat="1" x14ac:dyDescent="0.3">
      <c r="A50" s="498"/>
      <c r="B50" s="507"/>
      <c r="C50" s="507"/>
      <c r="D50" s="507"/>
      <c r="E50" s="507"/>
      <c r="F50" s="501"/>
      <c r="G50" s="751"/>
      <c r="H50" s="504"/>
      <c r="I50" s="580"/>
      <c r="J50" s="754"/>
      <c r="K50" s="757"/>
      <c r="L50" s="507"/>
      <c r="M50" s="507"/>
      <c r="N50" s="435">
        <v>45412</v>
      </c>
      <c r="O50" s="501"/>
      <c r="P50" s="428">
        <v>3771.37</v>
      </c>
      <c r="Q50" s="429">
        <v>45419</v>
      </c>
      <c r="R50" s="430"/>
      <c r="S50" s="428"/>
      <c r="T50" s="428"/>
      <c r="U50" s="504"/>
      <c r="V50" s="748"/>
      <c r="W50" s="513"/>
      <c r="X50" s="2">
        <v>21</v>
      </c>
    </row>
    <row r="51" spans="1:24" s="2" customFormat="1" x14ac:dyDescent="0.3">
      <c r="A51" s="498"/>
      <c r="B51" s="507"/>
      <c r="C51" s="507"/>
      <c r="D51" s="507"/>
      <c r="E51" s="507"/>
      <c r="F51" s="501"/>
      <c r="G51" s="751"/>
      <c r="H51" s="504"/>
      <c r="I51" s="580"/>
      <c r="J51" s="754"/>
      <c r="K51" s="757"/>
      <c r="L51" s="507"/>
      <c r="M51" s="507"/>
      <c r="N51" s="435">
        <v>45415</v>
      </c>
      <c r="O51" s="501"/>
      <c r="P51" s="428">
        <v>3771.37</v>
      </c>
      <c r="Q51" s="429">
        <v>45448</v>
      </c>
      <c r="R51" s="430"/>
      <c r="S51" s="428"/>
      <c r="T51" s="428"/>
      <c r="U51" s="504"/>
      <c r="V51" s="748"/>
      <c r="W51" s="513"/>
      <c r="X51" s="2">
        <v>21</v>
      </c>
    </row>
    <row r="52" spans="1:24" s="2" customFormat="1" x14ac:dyDescent="0.3">
      <c r="A52" s="498"/>
      <c r="B52" s="507"/>
      <c r="C52" s="507"/>
      <c r="D52" s="507"/>
      <c r="E52" s="507"/>
      <c r="F52" s="501"/>
      <c r="G52" s="751"/>
      <c r="H52" s="504"/>
      <c r="I52" s="580"/>
      <c r="J52" s="754"/>
      <c r="K52" s="757"/>
      <c r="L52" s="507"/>
      <c r="M52" s="507"/>
      <c r="N52" s="435">
        <v>45473</v>
      </c>
      <c r="O52" s="501"/>
      <c r="P52" s="428">
        <v>3771.37</v>
      </c>
      <c r="Q52" s="429">
        <v>45476</v>
      </c>
      <c r="R52" s="430"/>
      <c r="S52" s="428"/>
      <c r="T52" s="428"/>
      <c r="U52" s="504"/>
      <c r="V52" s="748"/>
      <c r="W52" s="513"/>
      <c r="X52" s="2">
        <v>21</v>
      </c>
    </row>
    <row r="53" spans="1:24" s="2" customFormat="1" x14ac:dyDescent="0.3">
      <c r="A53" s="498"/>
      <c r="B53" s="507"/>
      <c r="C53" s="507"/>
      <c r="D53" s="507"/>
      <c r="E53" s="507"/>
      <c r="F53" s="501"/>
      <c r="G53" s="751"/>
      <c r="H53" s="504"/>
      <c r="I53" s="580"/>
      <c r="J53" s="754"/>
      <c r="K53" s="757"/>
      <c r="L53" s="507"/>
      <c r="M53" s="507"/>
      <c r="N53" s="435">
        <v>45504</v>
      </c>
      <c r="O53" s="501"/>
      <c r="P53" s="428">
        <v>4042.35</v>
      </c>
      <c r="Q53" s="429">
        <v>45512</v>
      </c>
      <c r="R53" s="430"/>
      <c r="S53" s="428"/>
      <c r="T53" s="428"/>
      <c r="U53" s="504"/>
      <c r="V53" s="748"/>
      <c r="W53" s="513"/>
      <c r="X53" s="2">
        <v>21</v>
      </c>
    </row>
    <row r="54" spans="1:24" s="2" customFormat="1" x14ac:dyDescent="0.3">
      <c r="A54" s="498"/>
      <c r="B54" s="507"/>
      <c r="C54" s="507"/>
      <c r="D54" s="507"/>
      <c r="E54" s="507"/>
      <c r="F54" s="501"/>
      <c r="G54" s="751"/>
      <c r="H54" s="504"/>
      <c r="I54" s="580"/>
      <c r="J54" s="754"/>
      <c r="K54" s="757"/>
      <c r="L54" s="507"/>
      <c r="M54" s="507"/>
      <c r="N54" s="435">
        <v>45535</v>
      </c>
      <c r="O54" s="501"/>
      <c r="P54" s="428">
        <v>4042.35</v>
      </c>
      <c r="Q54" s="429">
        <v>45540</v>
      </c>
      <c r="R54" s="430"/>
      <c r="S54" s="428"/>
      <c r="T54" s="428"/>
      <c r="U54" s="504"/>
      <c r="V54" s="748"/>
      <c r="W54" s="513"/>
      <c r="X54" s="2">
        <v>21</v>
      </c>
    </row>
    <row r="55" spans="1:24" s="2" customFormat="1" x14ac:dyDescent="0.3">
      <c r="A55" s="499"/>
      <c r="B55" s="508"/>
      <c r="C55" s="508"/>
      <c r="D55" s="508"/>
      <c r="E55" s="508"/>
      <c r="F55" s="502"/>
      <c r="G55" s="752"/>
      <c r="H55" s="505"/>
      <c r="I55" s="581"/>
      <c r="J55" s="755"/>
      <c r="K55" s="758"/>
      <c r="L55" s="508"/>
      <c r="M55" s="508"/>
      <c r="N55" s="436">
        <v>45565</v>
      </c>
      <c r="O55" s="502"/>
      <c r="P55" s="431">
        <v>4042.35</v>
      </c>
      <c r="Q55" s="432">
        <v>45569</v>
      </c>
      <c r="R55" s="433"/>
      <c r="S55" s="431"/>
      <c r="T55" s="431"/>
      <c r="U55" s="505"/>
      <c r="V55" s="749"/>
      <c r="W55" s="514"/>
      <c r="X55" s="2">
        <v>21</v>
      </c>
    </row>
    <row r="56" spans="1:24" s="107" customFormat="1" ht="187.5" customHeight="1" x14ac:dyDescent="0.3">
      <c r="A56" s="626">
        <v>5</v>
      </c>
      <c r="B56" s="715" t="s">
        <v>56</v>
      </c>
      <c r="C56" s="715" t="s">
        <v>146</v>
      </c>
      <c r="D56" s="715" t="s">
        <v>147</v>
      </c>
      <c r="E56" s="715" t="s">
        <v>36</v>
      </c>
      <c r="F56" s="628">
        <v>45289</v>
      </c>
      <c r="G56" s="729" t="s">
        <v>197</v>
      </c>
      <c r="H56" s="711">
        <v>17500</v>
      </c>
      <c r="I56" s="731">
        <f>IF(X56 = 22, H56 + SUM(S56:S60) - SUM(T56:T60) - SUM(P56:P60) - V56,0)</f>
        <v>7500</v>
      </c>
      <c r="J56" s="733">
        <v>235301271520</v>
      </c>
      <c r="K56" s="713" t="s">
        <v>158</v>
      </c>
      <c r="L56" s="715" t="s">
        <v>146</v>
      </c>
      <c r="M56" s="715"/>
      <c r="N56" s="120">
        <v>45315</v>
      </c>
      <c r="O56" s="628" t="s">
        <v>194</v>
      </c>
      <c r="P56" s="121">
        <v>2500</v>
      </c>
      <c r="Q56" s="122">
        <v>45316</v>
      </c>
      <c r="R56" s="123"/>
      <c r="S56" s="121"/>
      <c r="T56" s="121"/>
      <c r="U56" s="711"/>
      <c r="V56" s="719"/>
      <c r="W56" s="745"/>
      <c r="X56" s="107">
        <v>22</v>
      </c>
    </row>
    <row r="57" spans="1:24" s="2" customFormat="1" x14ac:dyDescent="0.3">
      <c r="A57" s="627"/>
      <c r="B57" s="716"/>
      <c r="C57" s="716"/>
      <c r="D57" s="716"/>
      <c r="E57" s="716"/>
      <c r="F57" s="629"/>
      <c r="G57" s="730"/>
      <c r="H57" s="712"/>
      <c r="I57" s="732"/>
      <c r="J57" s="734"/>
      <c r="K57" s="714"/>
      <c r="L57" s="716"/>
      <c r="M57" s="716"/>
      <c r="N57" s="124">
        <v>45349</v>
      </c>
      <c r="O57" s="629"/>
      <c r="P57" s="125">
        <v>2500</v>
      </c>
      <c r="Q57" s="126">
        <v>45349</v>
      </c>
      <c r="R57" s="127"/>
      <c r="S57" s="125"/>
      <c r="T57" s="125"/>
      <c r="U57" s="712"/>
      <c r="V57" s="720"/>
      <c r="W57" s="746"/>
      <c r="X57" s="2">
        <v>22</v>
      </c>
    </row>
    <row r="58" spans="1:24" s="2" customFormat="1" x14ac:dyDescent="0.3">
      <c r="A58" s="627"/>
      <c r="B58" s="716"/>
      <c r="C58" s="716"/>
      <c r="D58" s="716"/>
      <c r="E58" s="716"/>
      <c r="F58" s="629"/>
      <c r="G58" s="730"/>
      <c r="H58" s="712"/>
      <c r="I58" s="732"/>
      <c r="J58" s="734"/>
      <c r="K58" s="714"/>
      <c r="L58" s="716"/>
      <c r="M58" s="716"/>
      <c r="N58" s="124">
        <v>45376</v>
      </c>
      <c r="O58" s="629"/>
      <c r="P58" s="125">
        <v>2500</v>
      </c>
      <c r="Q58" s="126">
        <v>45379</v>
      </c>
      <c r="R58" s="127"/>
      <c r="S58" s="125"/>
      <c r="T58" s="125"/>
      <c r="U58" s="712"/>
      <c r="V58" s="720"/>
      <c r="W58" s="746"/>
      <c r="X58" s="2">
        <v>22</v>
      </c>
    </row>
    <row r="59" spans="1:24" s="2" customFormat="1" x14ac:dyDescent="0.3">
      <c r="A59" s="627"/>
      <c r="B59" s="716"/>
      <c r="C59" s="716"/>
      <c r="D59" s="716"/>
      <c r="E59" s="716"/>
      <c r="F59" s="629"/>
      <c r="G59" s="730"/>
      <c r="H59" s="712"/>
      <c r="I59" s="732"/>
      <c r="J59" s="734"/>
      <c r="K59" s="714"/>
      <c r="L59" s="716"/>
      <c r="M59" s="716"/>
      <c r="N59" s="124">
        <v>45407</v>
      </c>
      <c r="O59" s="629"/>
      <c r="P59" s="125">
        <v>2500</v>
      </c>
      <c r="Q59" s="126">
        <v>45419</v>
      </c>
      <c r="R59" s="127"/>
      <c r="S59" s="125"/>
      <c r="T59" s="125"/>
      <c r="U59" s="712"/>
      <c r="V59" s="720"/>
      <c r="W59" s="746"/>
      <c r="X59" s="2">
        <v>22</v>
      </c>
    </row>
    <row r="60" spans="1:24" s="2" customFormat="1" x14ac:dyDescent="0.3">
      <c r="A60" s="627"/>
      <c r="B60" s="716"/>
      <c r="C60" s="716"/>
      <c r="D60" s="716"/>
      <c r="E60" s="716"/>
      <c r="F60" s="629"/>
      <c r="G60" s="730"/>
      <c r="H60" s="712"/>
      <c r="I60" s="732"/>
      <c r="J60" s="734"/>
      <c r="K60" s="714"/>
      <c r="L60" s="716"/>
      <c r="M60" s="716"/>
      <c r="N60" s="124"/>
      <c r="O60" s="629"/>
      <c r="P60" s="125"/>
      <c r="Q60" s="126"/>
      <c r="R60" s="127"/>
      <c r="S60" s="125"/>
      <c r="T60" s="125"/>
      <c r="U60" s="712"/>
      <c r="V60" s="720"/>
      <c r="W60" s="746"/>
      <c r="X60" s="2">
        <v>22</v>
      </c>
    </row>
    <row r="61" spans="1:24" s="107" customFormat="1" ht="187.5" customHeight="1" x14ac:dyDescent="0.3">
      <c r="A61" s="497">
        <v>6</v>
      </c>
      <c r="B61" s="506" t="s">
        <v>56</v>
      </c>
      <c r="C61" s="506" t="s">
        <v>146</v>
      </c>
      <c r="D61" s="506" t="s">
        <v>147</v>
      </c>
      <c r="E61" s="506" t="s">
        <v>111</v>
      </c>
      <c r="F61" s="500">
        <v>45289</v>
      </c>
      <c r="G61" s="750" t="s">
        <v>198</v>
      </c>
      <c r="H61" s="503">
        <v>26400</v>
      </c>
      <c r="I61" s="579">
        <f>IF(X61 = 23, H61 + SUM(S61:S69) - SUM(T61:T69) - SUM(P61:P69) - V61,0)</f>
        <v>6600</v>
      </c>
      <c r="J61" s="753">
        <v>231107998282</v>
      </c>
      <c r="K61" s="756" t="s">
        <v>199</v>
      </c>
      <c r="L61" s="506" t="s">
        <v>146</v>
      </c>
      <c r="M61" s="506"/>
      <c r="N61" s="434">
        <v>45315</v>
      </c>
      <c r="O61" s="500" t="s">
        <v>194</v>
      </c>
      <c r="P61" s="425">
        <v>2200</v>
      </c>
      <c r="Q61" s="426">
        <v>45324</v>
      </c>
      <c r="R61" s="427"/>
      <c r="S61" s="425"/>
      <c r="T61" s="425"/>
      <c r="U61" s="503"/>
      <c r="V61" s="747"/>
      <c r="W61" s="512"/>
      <c r="X61" s="107">
        <v>23</v>
      </c>
    </row>
    <row r="62" spans="1:24" s="2" customFormat="1" x14ac:dyDescent="0.3">
      <c r="A62" s="498"/>
      <c r="B62" s="507"/>
      <c r="C62" s="507"/>
      <c r="D62" s="507"/>
      <c r="E62" s="507"/>
      <c r="F62" s="501"/>
      <c r="G62" s="751"/>
      <c r="H62" s="504"/>
      <c r="I62" s="580"/>
      <c r="J62" s="754"/>
      <c r="K62" s="757"/>
      <c r="L62" s="507"/>
      <c r="M62" s="507"/>
      <c r="N62" s="435">
        <v>45351</v>
      </c>
      <c r="O62" s="501"/>
      <c r="P62" s="428">
        <v>2200</v>
      </c>
      <c r="Q62" s="429">
        <v>45351</v>
      </c>
      <c r="R62" s="430"/>
      <c r="S62" s="428"/>
      <c r="T62" s="428"/>
      <c r="U62" s="504"/>
      <c r="V62" s="748"/>
      <c r="W62" s="513"/>
      <c r="X62" s="2">
        <v>23</v>
      </c>
    </row>
    <row r="63" spans="1:24" s="2" customFormat="1" x14ac:dyDescent="0.3">
      <c r="A63" s="498"/>
      <c r="B63" s="507"/>
      <c r="C63" s="507"/>
      <c r="D63" s="507"/>
      <c r="E63" s="507"/>
      <c r="F63" s="501"/>
      <c r="G63" s="751"/>
      <c r="H63" s="504"/>
      <c r="I63" s="580"/>
      <c r="J63" s="754"/>
      <c r="K63" s="757"/>
      <c r="L63" s="507"/>
      <c r="M63" s="507"/>
      <c r="N63" s="435">
        <v>45382</v>
      </c>
      <c r="O63" s="501"/>
      <c r="P63" s="428">
        <v>2200</v>
      </c>
      <c r="Q63" s="429">
        <v>45383</v>
      </c>
      <c r="R63" s="430"/>
      <c r="S63" s="428"/>
      <c r="T63" s="428"/>
      <c r="U63" s="504"/>
      <c r="V63" s="748"/>
      <c r="W63" s="513"/>
      <c r="X63" s="2">
        <v>23</v>
      </c>
    </row>
    <row r="64" spans="1:24" s="2" customFormat="1" x14ac:dyDescent="0.3">
      <c r="A64" s="498"/>
      <c r="B64" s="507"/>
      <c r="C64" s="507"/>
      <c r="D64" s="507"/>
      <c r="E64" s="507"/>
      <c r="F64" s="501"/>
      <c r="G64" s="751"/>
      <c r="H64" s="504"/>
      <c r="I64" s="580"/>
      <c r="J64" s="754"/>
      <c r="K64" s="757"/>
      <c r="L64" s="507"/>
      <c r="M64" s="507"/>
      <c r="N64" s="435">
        <v>45409</v>
      </c>
      <c r="O64" s="501"/>
      <c r="P64" s="428">
        <v>2200</v>
      </c>
      <c r="Q64" s="429">
        <v>45419</v>
      </c>
      <c r="R64" s="430"/>
      <c r="S64" s="428"/>
      <c r="T64" s="428"/>
      <c r="U64" s="504"/>
      <c r="V64" s="748"/>
      <c r="W64" s="513"/>
      <c r="X64" s="2">
        <v>23</v>
      </c>
    </row>
    <row r="65" spans="1:24" s="2" customFormat="1" x14ac:dyDescent="0.3">
      <c r="A65" s="498"/>
      <c r="B65" s="507"/>
      <c r="C65" s="507"/>
      <c r="D65" s="507"/>
      <c r="E65" s="507"/>
      <c r="F65" s="501"/>
      <c r="G65" s="751"/>
      <c r="H65" s="504"/>
      <c r="I65" s="580"/>
      <c r="J65" s="754"/>
      <c r="K65" s="757"/>
      <c r="L65" s="507"/>
      <c r="M65" s="507"/>
      <c r="N65" s="435">
        <v>45443</v>
      </c>
      <c r="O65" s="501"/>
      <c r="P65" s="428">
        <v>2200</v>
      </c>
      <c r="Q65" s="429">
        <v>45448</v>
      </c>
      <c r="R65" s="430"/>
      <c r="S65" s="428"/>
      <c r="T65" s="428"/>
      <c r="U65" s="504"/>
      <c r="V65" s="748"/>
      <c r="W65" s="513"/>
      <c r="X65" s="2">
        <v>23</v>
      </c>
    </row>
    <row r="66" spans="1:24" s="2" customFormat="1" x14ac:dyDescent="0.3">
      <c r="A66" s="498"/>
      <c r="B66" s="507"/>
      <c r="C66" s="507"/>
      <c r="D66" s="507"/>
      <c r="E66" s="507"/>
      <c r="F66" s="501"/>
      <c r="G66" s="751"/>
      <c r="H66" s="504"/>
      <c r="I66" s="580"/>
      <c r="J66" s="754"/>
      <c r="K66" s="757"/>
      <c r="L66" s="507"/>
      <c r="M66" s="507"/>
      <c r="N66" s="435">
        <v>45473</v>
      </c>
      <c r="O66" s="501"/>
      <c r="P66" s="428">
        <v>2200</v>
      </c>
      <c r="Q66" s="429">
        <v>45475</v>
      </c>
      <c r="R66" s="430"/>
      <c r="S66" s="428"/>
      <c r="T66" s="428"/>
      <c r="U66" s="504"/>
      <c r="V66" s="748"/>
      <c r="W66" s="513"/>
      <c r="X66" s="2">
        <v>23</v>
      </c>
    </row>
    <row r="67" spans="1:24" s="2" customFormat="1" x14ac:dyDescent="0.3">
      <c r="A67" s="498"/>
      <c r="B67" s="507"/>
      <c r="C67" s="507"/>
      <c r="D67" s="507"/>
      <c r="E67" s="507"/>
      <c r="F67" s="501"/>
      <c r="G67" s="751"/>
      <c r="H67" s="504"/>
      <c r="I67" s="580"/>
      <c r="J67" s="754"/>
      <c r="K67" s="757"/>
      <c r="L67" s="507"/>
      <c r="M67" s="507"/>
      <c r="N67" s="435">
        <v>45504</v>
      </c>
      <c r="O67" s="501"/>
      <c r="P67" s="428">
        <v>2200</v>
      </c>
      <c r="Q67" s="429">
        <v>45504</v>
      </c>
      <c r="R67" s="430"/>
      <c r="S67" s="428"/>
      <c r="T67" s="428"/>
      <c r="U67" s="504"/>
      <c r="V67" s="748"/>
      <c r="W67" s="513"/>
      <c r="X67" s="2">
        <v>23</v>
      </c>
    </row>
    <row r="68" spans="1:24" s="2" customFormat="1" x14ac:dyDescent="0.3">
      <c r="A68" s="498"/>
      <c r="B68" s="507"/>
      <c r="C68" s="507"/>
      <c r="D68" s="507"/>
      <c r="E68" s="507"/>
      <c r="F68" s="501"/>
      <c r="G68" s="751"/>
      <c r="H68" s="504"/>
      <c r="I68" s="580"/>
      <c r="J68" s="754"/>
      <c r="K68" s="757"/>
      <c r="L68" s="507"/>
      <c r="M68" s="507"/>
      <c r="N68" s="435">
        <v>45535</v>
      </c>
      <c r="O68" s="501"/>
      <c r="P68" s="428">
        <v>2200</v>
      </c>
      <c r="Q68" s="429">
        <v>45537</v>
      </c>
      <c r="R68" s="430"/>
      <c r="S68" s="428"/>
      <c r="T68" s="428"/>
      <c r="U68" s="504"/>
      <c r="V68" s="748"/>
      <c r="W68" s="513"/>
      <c r="X68" s="2">
        <v>23</v>
      </c>
    </row>
    <row r="69" spans="1:24" s="2" customFormat="1" x14ac:dyDescent="0.3">
      <c r="A69" s="499"/>
      <c r="B69" s="508"/>
      <c r="C69" s="508"/>
      <c r="D69" s="508"/>
      <c r="E69" s="508"/>
      <c r="F69" s="502"/>
      <c r="G69" s="752"/>
      <c r="H69" s="505"/>
      <c r="I69" s="581"/>
      <c r="J69" s="755"/>
      <c r="K69" s="758"/>
      <c r="L69" s="508"/>
      <c r="M69" s="508"/>
      <c r="N69" s="436">
        <v>45565</v>
      </c>
      <c r="O69" s="502"/>
      <c r="P69" s="431">
        <v>2200</v>
      </c>
      <c r="Q69" s="432">
        <v>45569</v>
      </c>
      <c r="R69" s="433"/>
      <c r="S69" s="431"/>
      <c r="T69" s="431"/>
      <c r="U69" s="505"/>
      <c r="V69" s="749"/>
      <c r="W69" s="514"/>
      <c r="X69" s="2">
        <v>23</v>
      </c>
    </row>
    <row r="70" spans="1:24" s="107" customFormat="1" ht="108" customHeight="1" x14ac:dyDescent="0.3">
      <c r="A70" s="403">
        <v>7</v>
      </c>
      <c r="B70" s="404" t="s">
        <v>56</v>
      </c>
      <c r="C70" s="404" t="s">
        <v>146</v>
      </c>
      <c r="D70" s="404" t="s">
        <v>177</v>
      </c>
      <c r="E70" s="404" t="s">
        <v>195</v>
      </c>
      <c r="F70" s="406">
        <v>45289</v>
      </c>
      <c r="G70" s="410" t="s">
        <v>196</v>
      </c>
      <c r="H70" s="407">
        <v>1200</v>
      </c>
      <c r="I70" s="408">
        <f>IF(X70 = 24, H70 + SUM(S70:S70) - SUM(T70:T70) - SUM(P70:P70) - V70,0)</f>
        <v>0</v>
      </c>
      <c r="J70" s="411">
        <v>2369000660</v>
      </c>
      <c r="K70" s="412" t="s">
        <v>157</v>
      </c>
      <c r="L70" s="404" t="s">
        <v>146</v>
      </c>
      <c r="M70" s="404"/>
      <c r="N70" s="338"/>
      <c r="O70" s="406" t="s">
        <v>194</v>
      </c>
      <c r="P70" s="323">
        <v>1200</v>
      </c>
      <c r="Q70" s="324">
        <v>45351</v>
      </c>
      <c r="R70" s="325"/>
      <c r="S70" s="323"/>
      <c r="T70" s="323"/>
      <c r="U70" s="407"/>
      <c r="V70" s="409"/>
      <c r="W70" s="405"/>
      <c r="X70" s="107">
        <v>24</v>
      </c>
    </row>
    <row r="71" spans="1:24" s="107" customFormat="1" ht="131.25" customHeight="1" x14ac:dyDescent="0.3">
      <c r="A71" s="497">
        <v>8</v>
      </c>
      <c r="B71" s="506" t="s">
        <v>56</v>
      </c>
      <c r="C71" s="506" t="s">
        <v>146</v>
      </c>
      <c r="D71" s="506" t="s">
        <v>178</v>
      </c>
      <c r="E71" s="506" t="s">
        <v>110</v>
      </c>
      <c r="F71" s="500">
        <v>45289</v>
      </c>
      <c r="G71" s="750" t="s">
        <v>200</v>
      </c>
      <c r="H71" s="503">
        <v>15600</v>
      </c>
      <c r="I71" s="579">
        <f>IF(X71 = 25, H71 + SUM(S71:S79) - SUM(T71:T79) - SUM(P71:P79) - V71,0)</f>
        <v>3900</v>
      </c>
      <c r="J71" s="753">
        <v>231107998282</v>
      </c>
      <c r="K71" s="756" t="s">
        <v>199</v>
      </c>
      <c r="L71" s="506" t="s">
        <v>146</v>
      </c>
      <c r="M71" s="506"/>
      <c r="N71" s="434">
        <v>45315</v>
      </c>
      <c r="O71" s="500" t="s">
        <v>194</v>
      </c>
      <c r="P71" s="425">
        <v>1300</v>
      </c>
      <c r="Q71" s="426">
        <v>45324</v>
      </c>
      <c r="R71" s="427"/>
      <c r="S71" s="425"/>
      <c r="T71" s="425"/>
      <c r="U71" s="503"/>
      <c r="V71" s="747"/>
      <c r="W71" s="512"/>
      <c r="X71" s="107">
        <v>25</v>
      </c>
    </row>
    <row r="72" spans="1:24" s="2" customFormat="1" x14ac:dyDescent="0.3">
      <c r="A72" s="498"/>
      <c r="B72" s="507"/>
      <c r="C72" s="507"/>
      <c r="D72" s="507"/>
      <c r="E72" s="507"/>
      <c r="F72" s="501"/>
      <c r="G72" s="751"/>
      <c r="H72" s="504"/>
      <c r="I72" s="580"/>
      <c r="J72" s="754"/>
      <c r="K72" s="757"/>
      <c r="L72" s="507"/>
      <c r="M72" s="507"/>
      <c r="N72" s="435">
        <v>45351</v>
      </c>
      <c r="O72" s="501"/>
      <c r="P72" s="428">
        <v>1300</v>
      </c>
      <c r="Q72" s="429">
        <v>45351</v>
      </c>
      <c r="R72" s="430"/>
      <c r="S72" s="428"/>
      <c r="T72" s="428"/>
      <c r="U72" s="504"/>
      <c r="V72" s="748"/>
      <c r="W72" s="513"/>
      <c r="X72" s="2">
        <v>25</v>
      </c>
    </row>
    <row r="73" spans="1:24" s="2" customFormat="1" x14ac:dyDescent="0.3">
      <c r="A73" s="498"/>
      <c r="B73" s="507"/>
      <c r="C73" s="507"/>
      <c r="D73" s="507"/>
      <c r="E73" s="507"/>
      <c r="F73" s="501"/>
      <c r="G73" s="751"/>
      <c r="H73" s="504"/>
      <c r="I73" s="580"/>
      <c r="J73" s="754"/>
      <c r="K73" s="757"/>
      <c r="L73" s="507"/>
      <c r="M73" s="507"/>
      <c r="N73" s="435">
        <v>45382</v>
      </c>
      <c r="O73" s="501"/>
      <c r="P73" s="428">
        <v>1300</v>
      </c>
      <c r="Q73" s="429">
        <v>45383</v>
      </c>
      <c r="R73" s="430"/>
      <c r="S73" s="428"/>
      <c r="T73" s="428"/>
      <c r="U73" s="504"/>
      <c r="V73" s="748"/>
      <c r="W73" s="513"/>
      <c r="X73" s="2">
        <v>25</v>
      </c>
    </row>
    <row r="74" spans="1:24" s="2" customFormat="1" x14ac:dyDescent="0.3">
      <c r="A74" s="498"/>
      <c r="B74" s="507"/>
      <c r="C74" s="507"/>
      <c r="D74" s="507"/>
      <c r="E74" s="507"/>
      <c r="F74" s="501"/>
      <c r="G74" s="751"/>
      <c r="H74" s="504"/>
      <c r="I74" s="580"/>
      <c r="J74" s="754"/>
      <c r="K74" s="757"/>
      <c r="L74" s="507"/>
      <c r="M74" s="507"/>
      <c r="N74" s="435">
        <v>45409</v>
      </c>
      <c r="O74" s="501"/>
      <c r="P74" s="428">
        <v>1300</v>
      </c>
      <c r="Q74" s="429">
        <v>45419</v>
      </c>
      <c r="R74" s="430"/>
      <c r="S74" s="428"/>
      <c r="T74" s="428"/>
      <c r="U74" s="504"/>
      <c r="V74" s="748"/>
      <c r="W74" s="513"/>
      <c r="X74" s="2">
        <v>25</v>
      </c>
    </row>
    <row r="75" spans="1:24" s="2" customFormat="1" x14ac:dyDescent="0.3">
      <c r="A75" s="498"/>
      <c r="B75" s="507"/>
      <c r="C75" s="507"/>
      <c r="D75" s="507"/>
      <c r="E75" s="507"/>
      <c r="F75" s="501"/>
      <c r="G75" s="751"/>
      <c r="H75" s="504"/>
      <c r="I75" s="580"/>
      <c r="J75" s="754"/>
      <c r="K75" s="757"/>
      <c r="L75" s="507"/>
      <c r="M75" s="507"/>
      <c r="N75" s="435">
        <v>45443</v>
      </c>
      <c r="O75" s="501"/>
      <c r="P75" s="428">
        <v>1300</v>
      </c>
      <c r="Q75" s="429">
        <v>45448</v>
      </c>
      <c r="R75" s="430"/>
      <c r="S75" s="428"/>
      <c r="T75" s="428"/>
      <c r="U75" s="504"/>
      <c r="V75" s="748"/>
      <c r="W75" s="513"/>
      <c r="X75" s="2">
        <v>25</v>
      </c>
    </row>
    <row r="76" spans="1:24" s="2" customFormat="1" x14ac:dyDescent="0.3">
      <c r="A76" s="498"/>
      <c r="B76" s="507"/>
      <c r="C76" s="507"/>
      <c r="D76" s="507"/>
      <c r="E76" s="507"/>
      <c r="F76" s="501"/>
      <c r="G76" s="751"/>
      <c r="H76" s="504"/>
      <c r="I76" s="580"/>
      <c r="J76" s="754"/>
      <c r="K76" s="757"/>
      <c r="L76" s="507"/>
      <c r="M76" s="507"/>
      <c r="N76" s="435">
        <v>45473</v>
      </c>
      <c r="O76" s="501"/>
      <c r="P76" s="428">
        <v>1300</v>
      </c>
      <c r="Q76" s="429">
        <v>45475</v>
      </c>
      <c r="R76" s="430"/>
      <c r="S76" s="428"/>
      <c r="T76" s="428"/>
      <c r="U76" s="504"/>
      <c r="V76" s="748"/>
      <c r="W76" s="513"/>
      <c r="X76" s="2">
        <v>25</v>
      </c>
    </row>
    <row r="77" spans="1:24" s="2" customFormat="1" x14ac:dyDescent="0.3">
      <c r="A77" s="498"/>
      <c r="B77" s="507"/>
      <c r="C77" s="507"/>
      <c r="D77" s="507"/>
      <c r="E77" s="507"/>
      <c r="F77" s="501"/>
      <c r="G77" s="751"/>
      <c r="H77" s="504"/>
      <c r="I77" s="580"/>
      <c r="J77" s="754"/>
      <c r="K77" s="757"/>
      <c r="L77" s="507"/>
      <c r="M77" s="507"/>
      <c r="N77" s="435">
        <v>45504</v>
      </c>
      <c r="O77" s="501"/>
      <c r="P77" s="428">
        <v>1300</v>
      </c>
      <c r="Q77" s="429">
        <v>45504</v>
      </c>
      <c r="R77" s="430"/>
      <c r="S77" s="428"/>
      <c r="T77" s="428"/>
      <c r="U77" s="504"/>
      <c r="V77" s="748"/>
      <c r="W77" s="513"/>
      <c r="X77" s="2">
        <v>25</v>
      </c>
    </row>
    <row r="78" spans="1:24" s="2" customFormat="1" x14ac:dyDescent="0.3">
      <c r="A78" s="498"/>
      <c r="B78" s="507"/>
      <c r="C78" s="507"/>
      <c r="D78" s="507"/>
      <c r="E78" s="507"/>
      <c r="F78" s="501"/>
      <c r="G78" s="751"/>
      <c r="H78" s="504"/>
      <c r="I78" s="580"/>
      <c r="J78" s="754"/>
      <c r="K78" s="757"/>
      <c r="L78" s="507"/>
      <c r="M78" s="507"/>
      <c r="N78" s="435">
        <v>45535</v>
      </c>
      <c r="O78" s="501"/>
      <c r="P78" s="428">
        <v>1300</v>
      </c>
      <c r="Q78" s="429">
        <v>45537</v>
      </c>
      <c r="R78" s="430"/>
      <c r="S78" s="428"/>
      <c r="T78" s="428"/>
      <c r="U78" s="504"/>
      <c r="V78" s="748"/>
      <c r="W78" s="513"/>
      <c r="X78" s="2">
        <v>25</v>
      </c>
    </row>
    <row r="79" spans="1:24" s="2" customFormat="1" x14ac:dyDescent="0.3">
      <c r="A79" s="499"/>
      <c r="B79" s="508"/>
      <c r="C79" s="508"/>
      <c r="D79" s="508"/>
      <c r="E79" s="508"/>
      <c r="F79" s="502"/>
      <c r="G79" s="752"/>
      <c r="H79" s="505"/>
      <c r="I79" s="581"/>
      <c r="J79" s="755"/>
      <c r="K79" s="758"/>
      <c r="L79" s="508"/>
      <c r="M79" s="508"/>
      <c r="N79" s="436">
        <v>45565</v>
      </c>
      <c r="O79" s="502"/>
      <c r="P79" s="431">
        <v>1300</v>
      </c>
      <c r="Q79" s="432">
        <v>45569</v>
      </c>
      <c r="R79" s="433"/>
      <c r="S79" s="431"/>
      <c r="T79" s="431"/>
      <c r="U79" s="505"/>
      <c r="V79" s="749"/>
      <c r="W79" s="514"/>
      <c r="X79" s="2">
        <v>25</v>
      </c>
    </row>
    <row r="80" spans="1:24" s="107" customFormat="1" ht="108" customHeight="1" x14ac:dyDescent="0.3">
      <c r="A80" s="700">
        <v>9</v>
      </c>
      <c r="B80" s="661" t="s">
        <v>56</v>
      </c>
      <c r="C80" s="661" t="s">
        <v>146</v>
      </c>
      <c r="D80" s="661" t="s">
        <v>147</v>
      </c>
      <c r="E80" s="661" t="s">
        <v>112</v>
      </c>
      <c r="F80" s="664">
        <v>45289</v>
      </c>
      <c r="G80" s="667" t="s">
        <v>201</v>
      </c>
      <c r="H80" s="673">
        <v>205534.8</v>
      </c>
      <c r="I80" s="637">
        <f>IF(X80 = 26, H80 + SUM(S80:S104) - SUM(T80:T104) - SUM(P80:P104) - V80,0)</f>
        <v>-1.4551915228366852E-11</v>
      </c>
      <c r="J80" s="640">
        <v>2353020735</v>
      </c>
      <c r="K80" s="676" t="s">
        <v>156</v>
      </c>
      <c r="L80" s="661" t="s">
        <v>146</v>
      </c>
      <c r="M80" s="661"/>
      <c r="N80" s="214">
        <v>45322</v>
      </c>
      <c r="O80" s="664" t="s">
        <v>194</v>
      </c>
      <c r="P80" s="205">
        <v>450</v>
      </c>
      <c r="Q80" s="206">
        <v>45334</v>
      </c>
      <c r="R80" s="207"/>
      <c r="S80" s="205"/>
      <c r="T80" s="205"/>
      <c r="U80" s="673" t="s">
        <v>279</v>
      </c>
      <c r="V80" s="703">
        <v>52977.2</v>
      </c>
      <c r="W80" s="658"/>
      <c r="X80" s="107">
        <v>26</v>
      </c>
    </row>
    <row r="81" spans="1:24" s="2" customFormat="1" x14ac:dyDescent="0.3">
      <c r="A81" s="701"/>
      <c r="B81" s="662"/>
      <c r="C81" s="662"/>
      <c r="D81" s="662"/>
      <c r="E81" s="662"/>
      <c r="F81" s="665"/>
      <c r="G81" s="668"/>
      <c r="H81" s="674"/>
      <c r="I81" s="638"/>
      <c r="J81" s="641"/>
      <c r="K81" s="677"/>
      <c r="L81" s="662"/>
      <c r="M81" s="662"/>
      <c r="N81" s="215">
        <v>45322</v>
      </c>
      <c r="O81" s="665"/>
      <c r="P81" s="208">
        <v>1413</v>
      </c>
      <c r="Q81" s="209">
        <v>45334</v>
      </c>
      <c r="R81" s="210"/>
      <c r="S81" s="208"/>
      <c r="T81" s="208"/>
      <c r="U81" s="674"/>
      <c r="V81" s="704"/>
      <c r="W81" s="659"/>
      <c r="X81" s="2">
        <v>26</v>
      </c>
    </row>
    <row r="82" spans="1:24" s="2" customFormat="1" x14ac:dyDescent="0.3">
      <c r="A82" s="701"/>
      <c r="B82" s="662"/>
      <c r="C82" s="662"/>
      <c r="D82" s="662"/>
      <c r="E82" s="662"/>
      <c r="F82" s="665"/>
      <c r="G82" s="668"/>
      <c r="H82" s="674"/>
      <c r="I82" s="638"/>
      <c r="J82" s="641"/>
      <c r="K82" s="677"/>
      <c r="L82" s="662"/>
      <c r="M82" s="662"/>
      <c r="N82" s="215">
        <v>45322</v>
      </c>
      <c r="O82" s="665"/>
      <c r="P82" s="208">
        <v>2998.4</v>
      </c>
      <c r="Q82" s="209">
        <v>45334</v>
      </c>
      <c r="R82" s="210"/>
      <c r="S82" s="208"/>
      <c r="T82" s="208"/>
      <c r="U82" s="674"/>
      <c r="V82" s="704"/>
      <c r="W82" s="659"/>
      <c r="X82" s="2">
        <v>26</v>
      </c>
    </row>
    <row r="83" spans="1:24" s="2" customFormat="1" x14ac:dyDescent="0.3">
      <c r="A83" s="701"/>
      <c r="B83" s="662"/>
      <c r="C83" s="662"/>
      <c r="D83" s="662"/>
      <c r="E83" s="662"/>
      <c r="F83" s="665"/>
      <c r="G83" s="668"/>
      <c r="H83" s="674"/>
      <c r="I83" s="638"/>
      <c r="J83" s="641"/>
      <c r="K83" s="677"/>
      <c r="L83" s="662"/>
      <c r="M83" s="662"/>
      <c r="N83" s="215">
        <v>45322</v>
      </c>
      <c r="O83" s="665"/>
      <c r="P83" s="208">
        <v>960</v>
      </c>
      <c r="Q83" s="209">
        <v>45334</v>
      </c>
      <c r="R83" s="210"/>
      <c r="S83" s="208"/>
      <c r="T83" s="208"/>
      <c r="U83" s="674"/>
      <c r="V83" s="704"/>
      <c r="W83" s="659"/>
      <c r="X83" s="2">
        <v>26</v>
      </c>
    </row>
    <row r="84" spans="1:24" s="2" customFormat="1" x14ac:dyDescent="0.3">
      <c r="A84" s="701"/>
      <c r="B84" s="662"/>
      <c r="C84" s="662"/>
      <c r="D84" s="662"/>
      <c r="E84" s="662"/>
      <c r="F84" s="665"/>
      <c r="G84" s="668"/>
      <c r="H84" s="674"/>
      <c r="I84" s="638"/>
      <c r="J84" s="641"/>
      <c r="K84" s="677"/>
      <c r="L84" s="662"/>
      <c r="M84" s="662"/>
      <c r="N84" s="215">
        <v>45322</v>
      </c>
      <c r="O84" s="665"/>
      <c r="P84" s="208">
        <v>10140</v>
      </c>
      <c r="Q84" s="209">
        <v>45334</v>
      </c>
      <c r="R84" s="210"/>
      <c r="S84" s="208"/>
      <c r="T84" s="208"/>
      <c r="U84" s="674"/>
      <c r="V84" s="704"/>
      <c r="W84" s="659"/>
      <c r="X84" s="2">
        <v>26</v>
      </c>
    </row>
    <row r="85" spans="1:24" s="2" customFormat="1" x14ac:dyDescent="0.3">
      <c r="A85" s="701"/>
      <c r="B85" s="662"/>
      <c r="C85" s="662"/>
      <c r="D85" s="662"/>
      <c r="E85" s="662"/>
      <c r="F85" s="665"/>
      <c r="G85" s="668"/>
      <c r="H85" s="674"/>
      <c r="I85" s="638"/>
      <c r="J85" s="641"/>
      <c r="K85" s="677"/>
      <c r="L85" s="662"/>
      <c r="M85" s="662"/>
      <c r="N85" s="215">
        <v>45322</v>
      </c>
      <c r="O85" s="665"/>
      <c r="P85" s="208">
        <v>17418.759999999998</v>
      </c>
      <c r="Q85" s="209">
        <v>45334</v>
      </c>
      <c r="R85" s="210"/>
      <c r="S85" s="208"/>
      <c r="T85" s="208"/>
      <c r="U85" s="674"/>
      <c r="V85" s="704"/>
      <c r="W85" s="659"/>
      <c r="X85" s="2">
        <v>26</v>
      </c>
    </row>
    <row r="86" spans="1:24" s="2" customFormat="1" x14ac:dyDescent="0.3">
      <c r="A86" s="701"/>
      <c r="B86" s="662"/>
      <c r="C86" s="662"/>
      <c r="D86" s="662"/>
      <c r="E86" s="662"/>
      <c r="F86" s="665"/>
      <c r="G86" s="668"/>
      <c r="H86" s="674"/>
      <c r="I86" s="638"/>
      <c r="J86" s="641"/>
      <c r="K86" s="677"/>
      <c r="L86" s="662"/>
      <c r="M86" s="662"/>
      <c r="N86" s="215">
        <v>45322</v>
      </c>
      <c r="O86" s="665"/>
      <c r="P86" s="208">
        <v>14251.84</v>
      </c>
      <c r="Q86" s="209">
        <v>45334</v>
      </c>
      <c r="R86" s="210"/>
      <c r="S86" s="208"/>
      <c r="T86" s="208"/>
      <c r="U86" s="674"/>
      <c r="V86" s="704"/>
      <c r="W86" s="659"/>
      <c r="X86" s="2">
        <v>26</v>
      </c>
    </row>
    <row r="87" spans="1:24" s="2" customFormat="1" x14ac:dyDescent="0.3">
      <c r="A87" s="701"/>
      <c r="B87" s="662"/>
      <c r="C87" s="662"/>
      <c r="D87" s="662"/>
      <c r="E87" s="662"/>
      <c r="F87" s="665"/>
      <c r="G87" s="668"/>
      <c r="H87" s="674"/>
      <c r="I87" s="638"/>
      <c r="J87" s="641"/>
      <c r="K87" s="677"/>
      <c r="L87" s="662"/>
      <c r="M87" s="662"/>
      <c r="N87" s="215">
        <v>45351</v>
      </c>
      <c r="O87" s="665"/>
      <c r="P87" s="208">
        <v>21747.68</v>
      </c>
      <c r="Q87" s="209">
        <v>45364</v>
      </c>
      <c r="R87" s="210"/>
      <c r="S87" s="208"/>
      <c r="T87" s="208"/>
      <c r="U87" s="674"/>
      <c r="V87" s="704"/>
      <c r="W87" s="659"/>
      <c r="X87" s="2">
        <v>26</v>
      </c>
    </row>
    <row r="88" spans="1:24" s="2" customFormat="1" x14ac:dyDescent="0.3">
      <c r="A88" s="701"/>
      <c r="B88" s="662"/>
      <c r="C88" s="662"/>
      <c r="D88" s="662"/>
      <c r="E88" s="662"/>
      <c r="F88" s="665"/>
      <c r="G88" s="668"/>
      <c r="H88" s="674"/>
      <c r="I88" s="638"/>
      <c r="J88" s="641"/>
      <c r="K88" s="677"/>
      <c r="L88" s="662"/>
      <c r="M88" s="662"/>
      <c r="N88" s="215">
        <v>45351</v>
      </c>
      <c r="O88" s="665"/>
      <c r="P88" s="208">
        <v>17793.72</v>
      </c>
      <c r="Q88" s="209">
        <v>45364</v>
      </c>
      <c r="R88" s="210"/>
      <c r="S88" s="208"/>
      <c r="T88" s="208"/>
      <c r="U88" s="674"/>
      <c r="V88" s="704"/>
      <c r="W88" s="659"/>
      <c r="X88" s="2">
        <v>26</v>
      </c>
    </row>
    <row r="89" spans="1:24" s="2" customFormat="1" x14ac:dyDescent="0.3">
      <c r="A89" s="701"/>
      <c r="B89" s="662"/>
      <c r="C89" s="662"/>
      <c r="D89" s="662"/>
      <c r="E89" s="662"/>
      <c r="F89" s="665"/>
      <c r="G89" s="668"/>
      <c r="H89" s="674"/>
      <c r="I89" s="638"/>
      <c r="J89" s="641"/>
      <c r="K89" s="677"/>
      <c r="L89" s="662"/>
      <c r="M89" s="662"/>
      <c r="N89" s="215">
        <v>45351</v>
      </c>
      <c r="O89" s="665"/>
      <c r="P89" s="208">
        <v>12660</v>
      </c>
      <c r="Q89" s="209">
        <v>45364</v>
      </c>
      <c r="R89" s="210"/>
      <c r="S89" s="208"/>
      <c r="T89" s="208"/>
      <c r="U89" s="674"/>
      <c r="V89" s="704"/>
      <c r="W89" s="659"/>
      <c r="X89" s="2">
        <v>26</v>
      </c>
    </row>
    <row r="90" spans="1:24" s="2" customFormat="1" x14ac:dyDescent="0.3">
      <c r="A90" s="701"/>
      <c r="B90" s="662"/>
      <c r="C90" s="662"/>
      <c r="D90" s="662"/>
      <c r="E90" s="662"/>
      <c r="F90" s="665"/>
      <c r="G90" s="668"/>
      <c r="H90" s="674"/>
      <c r="I90" s="638"/>
      <c r="J90" s="641"/>
      <c r="K90" s="677"/>
      <c r="L90" s="662"/>
      <c r="M90" s="662"/>
      <c r="N90" s="215">
        <v>45351</v>
      </c>
      <c r="O90" s="665"/>
      <c r="P90" s="208">
        <v>1295.24</v>
      </c>
      <c r="Q90" s="209">
        <v>45364</v>
      </c>
      <c r="R90" s="210"/>
      <c r="S90" s="208"/>
      <c r="T90" s="208"/>
      <c r="U90" s="674"/>
      <c r="V90" s="704"/>
      <c r="W90" s="659"/>
      <c r="X90" s="2">
        <v>26</v>
      </c>
    </row>
    <row r="91" spans="1:24" s="2" customFormat="1" x14ac:dyDescent="0.3">
      <c r="A91" s="701"/>
      <c r="B91" s="662"/>
      <c r="C91" s="662"/>
      <c r="D91" s="662"/>
      <c r="E91" s="662"/>
      <c r="F91" s="665"/>
      <c r="G91" s="668"/>
      <c r="H91" s="674"/>
      <c r="I91" s="638"/>
      <c r="J91" s="641"/>
      <c r="K91" s="677"/>
      <c r="L91" s="662"/>
      <c r="M91" s="662"/>
      <c r="N91" s="215">
        <v>45351</v>
      </c>
      <c r="O91" s="665"/>
      <c r="P91" s="208">
        <v>1059.76</v>
      </c>
      <c r="Q91" s="209">
        <v>45364</v>
      </c>
      <c r="R91" s="210"/>
      <c r="S91" s="208"/>
      <c r="T91" s="208"/>
      <c r="U91" s="674"/>
      <c r="V91" s="704"/>
      <c r="W91" s="659"/>
      <c r="X91" s="2">
        <v>26</v>
      </c>
    </row>
    <row r="92" spans="1:24" s="2" customFormat="1" x14ac:dyDescent="0.3">
      <c r="A92" s="701"/>
      <c r="B92" s="662"/>
      <c r="C92" s="662"/>
      <c r="D92" s="662"/>
      <c r="E92" s="662"/>
      <c r="F92" s="665"/>
      <c r="G92" s="668"/>
      <c r="H92" s="674"/>
      <c r="I92" s="638"/>
      <c r="J92" s="641"/>
      <c r="K92" s="677"/>
      <c r="L92" s="662"/>
      <c r="M92" s="662"/>
      <c r="N92" s="215">
        <v>45351</v>
      </c>
      <c r="O92" s="665"/>
      <c r="P92" s="208">
        <v>750</v>
      </c>
      <c r="Q92" s="209">
        <v>45364</v>
      </c>
      <c r="R92" s="210"/>
      <c r="S92" s="208"/>
      <c r="T92" s="208"/>
      <c r="U92" s="674"/>
      <c r="V92" s="704"/>
      <c r="W92" s="659"/>
      <c r="X92" s="2">
        <v>26</v>
      </c>
    </row>
    <row r="93" spans="1:24" s="2" customFormat="1" x14ac:dyDescent="0.3">
      <c r="A93" s="701"/>
      <c r="B93" s="662"/>
      <c r="C93" s="662"/>
      <c r="D93" s="662"/>
      <c r="E93" s="662"/>
      <c r="F93" s="665"/>
      <c r="G93" s="668"/>
      <c r="H93" s="674"/>
      <c r="I93" s="638"/>
      <c r="J93" s="641"/>
      <c r="K93" s="677"/>
      <c r="L93" s="662"/>
      <c r="M93" s="662"/>
      <c r="N93" s="215">
        <v>45351</v>
      </c>
      <c r="O93" s="665"/>
      <c r="P93" s="208">
        <v>282.60000000000002</v>
      </c>
      <c r="Q93" s="209">
        <v>45364</v>
      </c>
      <c r="R93" s="210"/>
      <c r="S93" s="208"/>
      <c r="T93" s="208"/>
      <c r="U93" s="674"/>
      <c r="V93" s="704"/>
      <c r="W93" s="659"/>
      <c r="X93" s="2">
        <v>26</v>
      </c>
    </row>
    <row r="94" spans="1:24" s="2" customFormat="1" x14ac:dyDescent="0.3">
      <c r="A94" s="701"/>
      <c r="B94" s="662"/>
      <c r="C94" s="662"/>
      <c r="D94" s="662"/>
      <c r="E94" s="662"/>
      <c r="F94" s="665"/>
      <c r="G94" s="668"/>
      <c r="H94" s="674"/>
      <c r="I94" s="638"/>
      <c r="J94" s="641"/>
      <c r="K94" s="677"/>
      <c r="L94" s="662"/>
      <c r="M94" s="662"/>
      <c r="N94" s="215">
        <v>45351</v>
      </c>
      <c r="O94" s="665"/>
      <c r="P94" s="208">
        <v>90</v>
      </c>
      <c r="Q94" s="209">
        <v>45364</v>
      </c>
      <c r="R94" s="210"/>
      <c r="S94" s="208"/>
      <c r="T94" s="208"/>
      <c r="U94" s="674"/>
      <c r="V94" s="704"/>
      <c r="W94" s="659"/>
      <c r="X94" s="2">
        <v>26</v>
      </c>
    </row>
    <row r="95" spans="1:24" s="2" customFormat="1" x14ac:dyDescent="0.3">
      <c r="A95" s="701"/>
      <c r="B95" s="662"/>
      <c r="C95" s="662"/>
      <c r="D95" s="662"/>
      <c r="E95" s="662"/>
      <c r="F95" s="665"/>
      <c r="G95" s="668"/>
      <c r="H95" s="674"/>
      <c r="I95" s="638"/>
      <c r="J95" s="641"/>
      <c r="K95" s="677"/>
      <c r="L95" s="662"/>
      <c r="M95" s="662"/>
      <c r="N95" s="215">
        <v>45351</v>
      </c>
      <c r="O95" s="665"/>
      <c r="P95" s="208">
        <v>2061.4</v>
      </c>
      <c r="Q95" s="209">
        <v>45364</v>
      </c>
      <c r="R95" s="210"/>
      <c r="S95" s="208"/>
      <c r="T95" s="208"/>
      <c r="U95" s="674"/>
      <c r="V95" s="704"/>
      <c r="W95" s="659"/>
      <c r="X95" s="2">
        <v>26</v>
      </c>
    </row>
    <row r="96" spans="1:24" s="2" customFormat="1" x14ac:dyDescent="0.3">
      <c r="A96" s="701"/>
      <c r="B96" s="662"/>
      <c r="C96" s="662"/>
      <c r="D96" s="662"/>
      <c r="E96" s="662"/>
      <c r="F96" s="665"/>
      <c r="G96" s="668"/>
      <c r="H96" s="674"/>
      <c r="I96" s="638"/>
      <c r="J96" s="641"/>
      <c r="K96" s="677"/>
      <c r="L96" s="662"/>
      <c r="M96" s="662"/>
      <c r="N96" s="215">
        <v>45351</v>
      </c>
      <c r="O96" s="665"/>
      <c r="P96" s="208">
        <v>660</v>
      </c>
      <c r="Q96" s="209">
        <v>45364</v>
      </c>
      <c r="R96" s="210"/>
      <c r="S96" s="208"/>
      <c r="T96" s="208"/>
      <c r="U96" s="674"/>
      <c r="V96" s="704"/>
      <c r="W96" s="659"/>
      <c r="X96" s="2">
        <v>26</v>
      </c>
    </row>
    <row r="97" spans="1:24" s="2" customFormat="1" x14ac:dyDescent="0.3">
      <c r="A97" s="701"/>
      <c r="B97" s="662"/>
      <c r="C97" s="662"/>
      <c r="D97" s="662"/>
      <c r="E97" s="662"/>
      <c r="F97" s="665"/>
      <c r="G97" s="668"/>
      <c r="H97" s="674"/>
      <c r="I97" s="638"/>
      <c r="J97" s="641"/>
      <c r="K97" s="677"/>
      <c r="L97" s="662"/>
      <c r="M97" s="662"/>
      <c r="N97" s="215">
        <v>45373</v>
      </c>
      <c r="O97" s="665"/>
      <c r="P97" s="208">
        <v>840</v>
      </c>
      <c r="Q97" s="209">
        <v>45387</v>
      </c>
      <c r="R97" s="210"/>
      <c r="S97" s="208"/>
      <c r="T97" s="208"/>
      <c r="U97" s="674"/>
      <c r="V97" s="704"/>
      <c r="W97" s="659"/>
      <c r="X97" s="2">
        <v>26</v>
      </c>
    </row>
    <row r="98" spans="1:24" s="2" customFormat="1" x14ac:dyDescent="0.3">
      <c r="A98" s="701"/>
      <c r="B98" s="662"/>
      <c r="C98" s="662"/>
      <c r="D98" s="662"/>
      <c r="E98" s="662"/>
      <c r="F98" s="665"/>
      <c r="G98" s="668"/>
      <c r="H98" s="674"/>
      <c r="I98" s="638"/>
      <c r="J98" s="641"/>
      <c r="K98" s="677"/>
      <c r="L98" s="662"/>
      <c r="M98" s="662"/>
      <c r="N98" s="215">
        <v>45373</v>
      </c>
      <c r="O98" s="665"/>
      <c r="P98" s="208">
        <v>9660</v>
      </c>
      <c r="Q98" s="209">
        <v>45387</v>
      </c>
      <c r="R98" s="210"/>
      <c r="S98" s="208"/>
      <c r="T98" s="208"/>
      <c r="U98" s="674"/>
      <c r="V98" s="704"/>
      <c r="W98" s="659"/>
      <c r="X98" s="2">
        <v>26</v>
      </c>
    </row>
    <row r="99" spans="1:24" s="2" customFormat="1" x14ac:dyDescent="0.3">
      <c r="A99" s="701"/>
      <c r="B99" s="662"/>
      <c r="C99" s="662"/>
      <c r="D99" s="662"/>
      <c r="E99" s="662"/>
      <c r="F99" s="665"/>
      <c r="G99" s="668"/>
      <c r="H99" s="674"/>
      <c r="I99" s="638"/>
      <c r="J99" s="641"/>
      <c r="K99" s="677"/>
      <c r="L99" s="662"/>
      <c r="M99" s="662"/>
      <c r="N99" s="215">
        <v>45373</v>
      </c>
      <c r="O99" s="665"/>
      <c r="P99" s="208">
        <v>780</v>
      </c>
      <c r="Q99" s="209">
        <v>45387</v>
      </c>
      <c r="R99" s="210"/>
      <c r="S99" s="208"/>
      <c r="T99" s="208"/>
      <c r="U99" s="674"/>
      <c r="V99" s="704"/>
      <c r="W99" s="659"/>
      <c r="X99" s="2">
        <v>26</v>
      </c>
    </row>
    <row r="100" spans="1:24" s="2" customFormat="1" x14ac:dyDescent="0.3">
      <c r="A100" s="701"/>
      <c r="B100" s="662"/>
      <c r="C100" s="662"/>
      <c r="D100" s="662"/>
      <c r="E100" s="662"/>
      <c r="F100" s="665"/>
      <c r="G100" s="668"/>
      <c r="H100" s="674"/>
      <c r="I100" s="638"/>
      <c r="J100" s="641"/>
      <c r="K100" s="677"/>
      <c r="L100" s="662"/>
      <c r="M100" s="662"/>
      <c r="N100" s="215">
        <v>45373</v>
      </c>
      <c r="O100" s="665"/>
      <c r="P100" s="208">
        <v>2436.1999999999998</v>
      </c>
      <c r="Q100" s="209">
        <v>45387</v>
      </c>
      <c r="R100" s="210"/>
      <c r="S100" s="208"/>
      <c r="T100" s="208"/>
      <c r="U100" s="674"/>
      <c r="V100" s="704"/>
      <c r="W100" s="659"/>
      <c r="X100" s="2">
        <v>26</v>
      </c>
    </row>
    <row r="101" spans="1:24" s="2" customFormat="1" x14ac:dyDescent="0.3">
      <c r="A101" s="701"/>
      <c r="B101" s="662"/>
      <c r="C101" s="662"/>
      <c r="D101" s="662"/>
      <c r="E101" s="662"/>
      <c r="F101" s="665"/>
      <c r="G101" s="668"/>
      <c r="H101" s="674"/>
      <c r="I101" s="638"/>
      <c r="J101" s="641"/>
      <c r="K101" s="677"/>
      <c r="L101" s="662"/>
      <c r="M101" s="662"/>
      <c r="N101" s="215">
        <v>45373</v>
      </c>
      <c r="O101" s="665"/>
      <c r="P101" s="208">
        <v>1450.67</v>
      </c>
      <c r="Q101" s="209">
        <v>45387</v>
      </c>
      <c r="R101" s="210"/>
      <c r="S101" s="208"/>
      <c r="T101" s="208"/>
      <c r="U101" s="674"/>
      <c r="V101" s="704"/>
      <c r="W101" s="659"/>
      <c r="X101" s="2">
        <v>26</v>
      </c>
    </row>
    <row r="102" spans="1:24" s="2" customFormat="1" x14ac:dyDescent="0.3">
      <c r="A102" s="701"/>
      <c r="B102" s="662"/>
      <c r="C102" s="662"/>
      <c r="D102" s="662"/>
      <c r="E102" s="662"/>
      <c r="F102" s="665"/>
      <c r="G102" s="668"/>
      <c r="H102" s="674"/>
      <c r="I102" s="638"/>
      <c r="J102" s="641"/>
      <c r="K102" s="677"/>
      <c r="L102" s="662"/>
      <c r="M102" s="662"/>
      <c r="N102" s="215">
        <v>45373</v>
      </c>
      <c r="O102" s="665"/>
      <c r="P102" s="208">
        <v>1186.93</v>
      </c>
      <c r="Q102" s="209">
        <v>45387</v>
      </c>
      <c r="R102" s="210"/>
      <c r="S102" s="208"/>
      <c r="T102" s="208"/>
      <c r="U102" s="674"/>
      <c r="V102" s="704"/>
      <c r="W102" s="659"/>
      <c r="X102" s="2">
        <v>26</v>
      </c>
    </row>
    <row r="103" spans="1:24" s="2" customFormat="1" x14ac:dyDescent="0.3">
      <c r="A103" s="701"/>
      <c r="B103" s="662"/>
      <c r="C103" s="662"/>
      <c r="D103" s="662"/>
      <c r="E103" s="662"/>
      <c r="F103" s="665"/>
      <c r="G103" s="668"/>
      <c r="H103" s="674"/>
      <c r="I103" s="638"/>
      <c r="J103" s="641"/>
      <c r="K103" s="677"/>
      <c r="L103" s="662"/>
      <c r="M103" s="662"/>
      <c r="N103" s="215">
        <v>45373</v>
      </c>
      <c r="O103" s="665"/>
      <c r="P103" s="208">
        <v>16594.2</v>
      </c>
      <c r="Q103" s="209">
        <v>45387</v>
      </c>
      <c r="R103" s="210"/>
      <c r="S103" s="208"/>
      <c r="T103" s="208"/>
      <c r="U103" s="674"/>
      <c r="V103" s="704"/>
      <c r="W103" s="659"/>
      <c r="X103" s="2">
        <v>26</v>
      </c>
    </row>
    <row r="104" spans="1:24" s="2" customFormat="1" x14ac:dyDescent="0.3">
      <c r="A104" s="702"/>
      <c r="B104" s="663"/>
      <c r="C104" s="663"/>
      <c r="D104" s="663"/>
      <c r="E104" s="663"/>
      <c r="F104" s="666"/>
      <c r="G104" s="669"/>
      <c r="H104" s="675"/>
      <c r="I104" s="639"/>
      <c r="J104" s="642"/>
      <c r="K104" s="678"/>
      <c r="L104" s="663"/>
      <c r="M104" s="663"/>
      <c r="N104" s="215">
        <v>45373</v>
      </c>
      <c r="O104" s="666"/>
      <c r="P104" s="211">
        <v>13577.2</v>
      </c>
      <c r="Q104" s="209">
        <v>45387</v>
      </c>
      <c r="R104" s="213"/>
      <c r="S104" s="211"/>
      <c r="T104" s="211"/>
      <c r="U104" s="675"/>
      <c r="V104" s="705"/>
      <c r="W104" s="660"/>
      <c r="X104" s="2">
        <v>26</v>
      </c>
    </row>
    <row r="105" spans="1:24" s="107" customFormat="1" ht="108" customHeight="1" x14ac:dyDescent="0.3">
      <c r="A105" s="700">
        <v>10</v>
      </c>
      <c r="B105" s="661" t="s">
        <v>56</v>
      </c>
      <c r="C105" s="661" t="s">
        <v>146</v>
      </c>
      <c r="D105" s="661" t="s">
        <v>147</v>
      </c>
      <c r="E105" s="661" t="s">
        <v>114</v>
      </c>
      <c r="F105" s="664">
        <v>45289</v>
      </c>
      <c r="G105" s="667" t="s">
        <v>202</v>
      </c>
      <c r="H105" s="673">
        <v>121197.6</v>
      </c>
      <c r="I105" s="637">
        <f>IF(X105 = 27, H105 + SUM(S105:S110) - SUM(T105:T110) - SUM(P105:P110) - V105,0)</f>
        <v>0</v>
      </c>
      <c r="J105" s="640">
        <v>2353020735</v>
      </c>
      <c r="K105" s="676" t="s">
        <v>156</v>
      </c>
      <c r="L105" s="661" t="s">
        <v>146</v>
      </c>
      <c r="M105" s="661"/>
      <c r="N105" s="214">
        <v>45322</v>
      </c>
      <c r="O105" s="664" t="s">
        <v>165</v>
      </c>
      <c r="P105" s="205">
        <v>17262</v>
      </c>
      <c r="Q105" s="206">
        <v>45334</v>
      </c>
      <c r="R105" s="207"/>
      <c r="S105" s="205"/>
      <c r="T105" s="205"/>
      <c r="U105" s="673" t="s">
        <v>279</v>
      </c>
      <c r="V105" s="703">
        <v>52056</v>
      </c>
      <c r="W105" s="658"/>
      <c r="X105" s="107">
        <v>27</v>
      </c>
    </row>
    <row r="106" spans="1:24" s="2" customFormat="1" x14ac:dyDescent="0.3">
      <c r="A106" s="701"/>
      <c r="B106" s="662"/>
      <c r="C106" s="662"/>
      <c r="D106" s="662"/>
      <c r="E106" s="662"/>
      <c r="F106" s="665"/>
      <c r="G106" s="668"/>
      <c r="H106" s="674"/>
      <c r="I106" s="638"/>
      <c r="J106" s="641"/>
      <c r="K106" s="677"/>
      <c r="L106" s="662"/>
      <c r="M106" s="662"/>
      <c r="N106" s="215">
        <v>45322</v>
      </c>
      <c r="O106" s="665"/>
      <c r="P106" s="208">
        <v>6822.4</v>
      </c>
      <c r="Q106" s="209">
        <v>45334</v>
      </c>
      <c r="R106" s="210"/>
      <c r="S106" s="208"/>
      <c r="T106" s="208"/>
      <c r="U106" s="674"/>
      <c r="V106" s="704"/>
      <c r="W106" s="659"/>
      <c r="X106" s="2">
        <v>27</v>
      </c>
    </row>
    <row r="107" spans="1:24" s="2" customFormat="1" x14ac:dyDescent="0.3">
      <c r="A107" s="701"/>
      <c r="B107" s="662"/>
      <c r="C107" s="662"/>
      <c r="D107" s="662"/>
      <c r="E107" s="662"/>
      <c r="F107" s="665"/>
      <c r="G107" s="668"/>
      <c r="H107" s="674"/>
      <c r="I107" s="638"/>
      <c r="J107" s="641"/>
      <c r="K107" s="677"/>
      <c r="L107" s="662"/>
      <c r="M107" s="662"/>
      <c r="N107" s="215">
        <v>45351</v>
      </c>
      <c r="O107" s="665"/>
      <c r="P107" s="208">
        <v>19044</v>
      </c>
      <c r="Q107" s="209">
        <v>45364</v>
      </c>
      <c r="R107" s="210"/>
      <c r="S107" s="208"/>
      <c r="T107" s="208"/>
      <c r="U107" s="674"/>
      <c r="V107" s="704"/>
      <c r="W107" s="659"/>
      <c r="X107" s="2">
        <v>27</v>
      </c>
    </row>
    <row r="108" spans="1:24" s="2" customFormat="1" x14ac:dyDescent="0.3">
      <c r="A108" s="701"/>
      <c r="B108" s="662"/>
      <c r="C108" s="662"/>
      <c r="D108" s="662"/>
      <c r="E108" s="662"/>
      <c r="F108" s="665"/>
      <c r="G108" s="668"/>
      <c r="H108" s="674"/>
      <c r="I108" s="638"/>
      <c r="J108" s="641"/>
      <c r="K108" s="677"/>
      <c r="L108" s="662"/>
      <c r="M108" s="662"/>
      <c r="N108" s="215">
        <v>45351</v>
      </c>
      <c r="O108" s="665"/>
      <c r="P108" s="208">
        <v>7321.6</v>
      </c>
      <c r="Q108" s="209">
        <v>45364</v>
      </c>
      <c r="R108" s="210"/>
      <c r="S108" s="208"/>
      <c r="T108" s="208"/>
      <c r="U108" s="674"/>
      <c r="V108" s="704"/>
      <c r="W108" s="659"/>
      <c r="X108" s="2">
        <v>27</v>
      </c>
    </row>
    <row r="109" spans="1:24" s="2" customFormat="1" x14ac:dyDescent="0.3">
      <c r="A109" s="701"/>
      <c r="B109" s="662"/>
      <c r="C109" s="662"/>
      <c r="D109" s="662"/>
      <c r="E109" s="662"/>
      <c r="F109" s="665"/>
      <c r="G109" s="668"/>
      <c r="H109" s="674"/>
      <c r="I109" s="638"/>
      <c r="J109" s="641"/>
      <c r="K109" s="677"/>
      <c r="L109" s="662"/>
      <c r="M109" s="662"/>
      <c r="N109" s="215">
        <v>45373</v>
      </c>
      <c r="O109" s="665"/>
      <c r="P109" s="208">
        <v>13554</v>
      </c>
      <c r="Q109" s="209">
        <v>45387</v>
      </c>
      <c r="R109" s="210"/>
      <c r="S109" s="208"/>
      <c r="T109" s="208"/>
      <c r="U109" s="674"/>
      <c r="V109" s="704"/>
      <c r="W109" s="659"/>
      <c r="X109" s="2">
        <v>27</v>
      </c>
    </row>
    <row r="110" spans="1:24" s="2" customFormat="1" x14ac:dyDescent="0.3">
      <c r="A110" s="702"/>
      <c r="B110" s="663"/>
      <c r="C110" s="663"/>
      <c r="D110" s="663"/>
      <c r="E110" s="663"/>
      <c r="F110" s="666"/>
      <c r="G110" s="669"/>
      <c r="H110" s="675"/>
      <c r="I110" s="639"/>
      <c r="J110" s="642"/>
      <c r="K110" s="678"/>
      <c r="L110" s="663"/>
      <c r="M110" s="663"/>
      <c r="N110" s="216">
        <v>45373</v>
      </c>
      <c r="O110" s="666"/>
      <c r="P110" s="211">
        <v>5137.6000000000004</v>
      </c>
      <c r="Q110" s="212">
        <v>45387</v>
      </c>
      <c r="R110" s="213"/>
      <c r="S110" s="211"/>
      <c r="T110" s="211"/>
      <c r="U110" s="675"/>
      <c r="V110" s="705"/>
      <c r="W110" s="660"/>
      <c r="X110" s="2">
        <v>27</v>
      </c>
    </row>
    <row r="111" spans="1:24" s="107" customFormat="1" ht="162" customHeight="1" x14ac:dyDescent="0.3">
      <c r="A111" s="700">
        <v>11</v>
      </c>
      <c r="B111" s="661" t="s">
        <v>56</v>
      </c>
      <c r="C111" s="661" t="s">
        <v>146</v>
      </c>
      <c r="D111" s="661" t="s">
        <v>147</v>
      </c>
      <c r="E111" s="661" t="s">
        <v>203</v>
      </c>
      <c r="F111" s="664">
        <v>45290</v>
      </c>
      <c r="G111" s="667" t="s">
        <v>204</v>
      </c>
      <c r="H111" s="673">
        <v>45600</v>
      </c>
      <c r="I111" s="637">
        <f>IF(X111 = 28, H111 + SUM(S111:S116) - SUM(T111:T116) - SUM(P111:P116) - V111,0)</f>
        <v>0</v>
      </c>
      <c r="J111" s="640">
        <v>235305769122</v>
      </c>
      <c r="K111" s="676" t="s">
        <v>160</v>
      </c>
      <c r="L111" s="661" t="s">
        <v>146</v>
      </c>
      <c r="M111" s="661"/>
      <c r="N111" s="214">
        <v>45322</v>
      </c>
      <c r="O111" s="664" t="s">
        <v>194</v>
      </c>
      <c r="P111" s="205">
        <v>5600</v>
      </c>
      <c r="Q111" s="206">
        <v>45330</v>
      </c>
      <c r="R111" s="207"/>
      <c r="S111" s="205"/>
      <c r="T111" s="205"/>
      <c r="U111" s="673"/>
      <c r="V111" s="703">
        <v>6590</v>
      </c>
      <c r="W111" s="658"/>
      <c r="X111" s="107">
        <v>28</v>
      </c>
    </row>
    <row r="112" spans="1:24" s="2" customFormat="1" x14ac:dyDescent="0.3">
      <c r="A112" s="701"/>
      <c r="B112" s="662"/>
      <c r="C112" s="662"/>
      <c r="D112" s="662"/>
      <c r="E112" s="662"/>
      <c r="F112" s="665"/>
      <c r="G112" s="668"/>
      <c r="H112" s="674"/>
      <c r="I112" s="638"/>
      <c r="J112" s="641"/>
      <c r="K112" s="677"/>
      <c r="L112" s="662"/>
      <c r="M112" s="662"/>
      <c r="N112" s="215">
        <v>45322</v>
      </c>
      <c r="O112" s="665"/>
      <c r="P112" s="208">
        <v>6240</v>
      </c>
      <c r="Q112" s="209">
        <v>45330</v>
      </c>
      <c r="R112" s="210"/>
      <c r="S112" s="208"/>
      <c r="T112" s="208"/>
      <c r="U112" s="674"/>
      <c r="V112" s="704"/>
      <c r="W112" s="659"/>
      <c r="X112" s="2">
        <v>28</v>
      </c>
    </row>
    <row r="113" spans="1:24" s="2" customFormat="1" x14ac:dyDescent="0.3">
      <c r="A113" s="701"/>
      <c r="B113" s="662"/>
      <c r="C113" s="662"/>
      <c r="D113" s="662"/>
      <c r="E113" s="662"/>
      <c r="F113" s="665"/>
      <c r="G113" s="668"/>
      <c r="H113" s="674"/>
      <c r="I113" s="638"/>
      <c r="J113" s="641"/>
      <c r="K113" s="677"/>
      <c r="L113" s="662"/>
      <c r="M113" s="662"/>
      <c r="N113" s="215">
        <v>45322</v>
      </c>
      <c r="O113" s="665"/>
      <c r="P113" s="208">
        <v>8060</v>
      </c>
      <c r="Q113" s="209">
        <v>45330</v>
      </c>
      <c r="R113" s="210"/>
      <c r="S113" s="208"/>
      <c r="T113" s="208"/>
      <c r="U113" s="674"/>
      <c r="V113" s="704"/>
      <c r="W113" s="659"/>
      <c r="X113" s="2">
        <v>28</v>
      </c>
    </row>
    <row r="114" spans="1:24" s="2" customFormat="1" x14ac:dyDescent="0.3">
      <c r="A114" s="701"/>
      <c r="B114" s="662"/>
      <c r="C114" s="662"/>
      <c r="D114" s="662"/>
      <c r="E114" s="662"/>
      <c r="F114" s="665"/>
      <c r="G114" s="668"/>
      <c r="H114" s="674"/>
      <c r="I114" s="638"/>
      <c r="J114" s="641"/>
      <c r="K114" s="677"/>
      <c r="L114" s="662"/>
      <c r="M114" s="662"/>
      <c r="N114" s="215">
        <v>45351</v>
      </c>
      <c r="O114" s="665"/>
      <c r="P114" s="208">
        <v>5460</v>
      </c>
      <c r="Q114" s="209">
        <v>45357</v>
      </c>
      <c r="R114" s="210"/>
      <c r="S114" s="208"/>
      <c r="T114" s="208"/>
      <c r="U114" s="674"/>
      <c r="V114" s="704"/>
      <c r="W114" s="659"/>
      <c r="X114" s="2">
        <v>28</v>
      </c>
    </row>
    <row r="115" spans="1:24" s="2" customFormat="1" x14ac:dyDescent="0.3">
      <c r="A115" s="701"/>
      <c r="B115" s="662"/>
      <c r="C115" s="662"/>
      <c r="D115" s="662"/>
      <c r="E115" s="662"/>
      <c r="F115" s="665"/>
      <c r="G115" s="668"/>
      <c r="H115" s="674"/>
      <c r="I115" s="638"/>
      <c r="J115" s="641"/>
      <c r="K115" s="677"/>
      <c r="L115" s="662"/>
      <c r="M115" s="662"/>
      <c r="N115" s="215">
        <v>45351</v>
      </c>
      <c r="O115" s="665"/>
      <c r="P115" s="208">
        <v>6240</v>
      </c>
      <c r="Q115" s="209">
        <v>45357</v>
      </c>
      <c r="R115" s="210"/>
      <c r="S115" s="208"/>
      <c r="T115" s="208"/>
      <c r="U115" s="674"/>
      <c r="V115" s="704"/>
      <c r="W115" s="659"/>
      <c r="X115" s="2">
        <v>28</v>
      </c>
    </row>
    <row r="116" spans="1:24" s="2" customFormat="1" x14ac:dyDescent="0.3">
      <c r="A116" s="701"/>
      <c r="B116" s="662"/>
      <c r="C116" s="662"/>
      <c r="D116" s="662"/>
      <c r="E116" s="662"/>
      <c r="F116" s="665"/>
      <c r="G116" s="668"/>
      <c r="H116" s="674"/>
      <c r="I116" s="638"/>
      <c r="J116" s="641"/>
      <c r="K116" s="677"/>
      <c r="L116" s="662"/>
      <c r="M116" s="662"/>
      <c r="N116" s="215">
        <v>45351</v>
      </c>
      <c r="O116" s="665"/>
      <c r="P116" s="208">
        <v>7410</v>
      </c>
      <c r="Q116" s="209">
        <v>45357</v>
      </c>
      <c r="R116" s="210"/>
      <c r="S116" s="208"/>
      <c r="T116" s="208"/>
      <c r="U116" s="674"/>
      <c r="V116" s="704"/>
      <c r="W116" s="659"/>
      <c r="X116" s="2">
        <v>28</v>
      </c>
    </row>
    <row r="117" spans="1:24" s="107" customFormat="1" ht="131.25" customHeight="1" x14ac:dyDescent="0.3">
      <c r="A117" s="700">
        <v>12</v>
      </c>
      <c r="B117" s="661" t="s">
        <v>56</v>
      </c>
      <c r="C117" s="661" t="s">
        <v>146</v>
      </c>
      <c r="D117" s="661" t="s">
        <v>147</v>
      </c>
      <c r="E117" s="661" t="s">
        <v>117</v>
      </c>
      <c r="F117" s="664">
        <v>45309</v>
      </c>
      <c r="G117" s="667" t="s">
        <v>205</v>
      </c>
      <c r="H117" s="673">
        <v>26568</v>
      </c>
      <c r="I117" s="637">
        <f>IF(X117 = 29, H117 + SUM(S117:S122) - SUM(T117:T122) - SUM(P117:P122) - V117,0)</f>
        <v>0</v>
      </c>
      <c r="J117" s="640">
        <v>2353020735</v>
      </c>
      <c r="K117" s="676" t="s">
        <v>156</v>
      </c>
      <c r="L117" s="661" t="s">
        <v>146</v>
      </c>
      <c r="M117" s="661"/>
      <c r="N117" s="214">
        <v>45322</v>
      </c>
      <c r="O117" s="664" t="s">
        <v>194</v>
      </c>
      <c r="P117" s="205">
        <v>5487</v>
      </c>
      <c r="Q117" s="206">
        <v>45334</v>
      </c>
      <c r="R117" s="207"/>
      <c r="S117" s="205"/>
      <c r="T117" s="205"/>
      <c r="U117" s="673" t="s">
        <v>279</v>
      </c>
      <c r="V117" s="703">
        <v>6765</v>
      </c>
      <c r="W117" s="658"/>
      <c r="X117" s="107">
        <v>29</v>
      </c>
    </row>
    <row r="118" spans="1:24" s="2" customFormat="1" x14ac:dyDescent="0.3">
      <c r="A118" s="701"/>
      <c r="B118" s="662"/>
      <c r="C118" s="662"/>
      <c r="D118" s="662"/>
      <c r="E118" s="662"/>
      <c r="F118" s="665"/>
      <c r="G118" s="668"/>
      <c r="H118" s="674"/>
      <c r="I118" s="638"/>
      <c r="J118" s="641"/>
      <c r="K118" s="677"/>
      <c r="L118" s="662"/>
      <c r="M118" s="662"/>
      <c r="N118" s="215">
        <v>45322</v>
      </c>
      <c r="O118" s="665"/>
      <c r="P118" s="208">
        <v>1770</v>
      </c>
      <c r="Q118" s="209">
        <v>45334</v>
      </c>
      <c r="R118" s="210"/>
      <c r="S118" s="208"/>
      <c r="T118" s="208"/>
      <c r="U118" s="674"/>
      <c r="V118" s="704"/>
      <c r="W118" s="659"/>
      <c r="X118" s="2">
        <v>29</v>
      </c>
    </row>
    <row r="119" spans="1:24" s="2" customFormat="1" x14ac:dyDescent="0.3">
      <c r="A119" s="701"/>
      <c r="B119" s="662"/>
      <c r="C119" s="662"/>
      <c r="D119" s="662"/>
      <c r="E119" s="662"/>
      <c r="F119" s="665"/>
      <c r="G119" s="668"/>
      <c r="H119" s="674"/>
      <c r="I119" s="638"/>
      <c r="J119" s="641"/>
      <c r="K119" s="677"/>
      <c r="L119" s="662"/>
      <c r="M119" s="662"/>
      <c r="N119" s="215">
        <v>45351</v>
      </c>
      <c r="O119" s="665"/>
      <c r="P119" s="208">
        <v>5394</v>
      </c>
      <c r="Q119" s="209">
        <v>45364</v>
      </c>
      <c r="R119" s="210"/>
      <c r="S119" s="208"/>
      <c r="T119" s="208"/>
      <c r="U119" s="674"/>
      <c r="V119" s="704"/>
      <c r="W119" s="659"/>
      <c r="X119" s="2">
        <v>29</v>
      </c>
    </row>
    <row r="120" spans="1:24" s="2" customFormat="1" x14ac:dyDescent="0.3">
      <c r="A120" s="701"/>
      <c r="B120" s="662"/>
      <c r="C120" s="662"/>
      <c r="D120" s="662"/>
      <c r="E120" s="662"/>
      <c r="F120" s="665"/>
      <c r="G120" s="668"/>
      <c r="H120" s="674"/>
      <c r="I120" s="638"/>
      <c r="J120" s="641"/>
      <c r="K120" s="677"/>
      <c r="L120" s="662"/>
      <c r="M120" s="662"/>
      <c r="N120" s="215">
        <v>45351</v>
      </c>
      <c r="O120" s="665"/>
      <c r="P120" s="208">
        <v>1740</v>
      </c>
      <c r="Q120" s="209">
        <v>45364</v>
      </c>
      <c r="R120" s="210"/>
      <c r="S120" s="208"/>
      <c r="T120" s="208"/>
      <c r="U120" s="674"/>
      <c r="V120" s="704"/>
      <c r="W120" s="659"/>
      <c r="X120" s="2">
        <v>29</v>
      </c>
    </row>
    <row r="121" spans="1:24" s="2" customFormat="1" x14ac:dyDescent="0.3">
      <c r="A121" s="701"/>
      <c r="B121" s="662"/>
      <c r="C121" s="662"/>
      <c r="D121" s="662"/>
      <c r="E121" s="662"/>
      <c r="F121" s="665"/>
      <c r="G121" s="668"/>
      <c r="H121" s="674"/>
      <c r="I121" s="638"/>
      <c r="J121" s="641"/>
      <c r="K121" s="677"/>
      <c r="L121" s="662"/>
      <c r="M121" s="662"/>
      <c r="N121" s="215">
        <v>45382</v>
      </c>
      <c r="O121" s="665"/>
      <c r="P121" s="208">
        <v>4092</v>
      </c>
      <c r="Q121" s="209">
        <v>45387</v>
      </c>
      <c r="R121" s="210"/>
      <c r="S121" s="208"/>
      <c r="T121" s="208"/>
      <c r="U121" s="674"/>
      <c r="V121" s="704"/>
      <c r="W121" s="659"/>
      <c r="X121" s="2">
        <v>29</v>
      </c>
    </row>
    <row r="122" spans="1:24" s="2" customFormat="1" x14ac:dyDescent="0.3">
      <c r="A122" s="702"/>
      <c r="B122" s="663"/>
      <c r="C122" s="663"/>
      <c r="D122" s="663"/>
      <c r="E122" s="663"/>
      <c r="F122" s="666"/>
      <c r="G122" s="669"/>
      <c r="H122" s="675"/>
      <c r="I122" s="639"/>
      <c r="J122" s="642"/>
      <c r="K122" s="678"/>
      <c r="L122" s="663"/>
      <c r="M122" s="663"/>
      <c r="N122" s="216">
        <v>45382</v>
      </c>
      <c r="O122" s="666"/>
      <c r="P122" s="211">
        <v>1320</v>
      </c>
      <c r="Q122" s="212">
        <v>45387</v>
      </c>
      <c r="R122" s="213"/>
      <c r="S122" s="211"/>
      <c r="T122" s="211"/>
      <c r="U122" s="675"/>
      <c r="V122" s="705"/>
      <c r="W122" s="660"/>
      <c r="X122" s="2">
        <v>29</v>
      </c>
    </row>
    <row r="123" spans="1:24" s="107" customFormat="1" ht="108" x14ac:dyDescent="0.3">
      <c r="A123" s="110">
        <v>13</v>
      </c>
      <c r="B123" s="111" t="s">
        <v>56</v>
      </c>
      <c r="C123" s="111" t="s">
        <v>146</v>
      </c>
      <c r="D123" s="111" t="s">
        <v>147</v>
      </c>
      <c r="E123" s="111" t="s">
        <v>211</v>
      </c>
      <c r="F123" s="119">
        <v>45316</v>
      </c>
      <c r="G123" s="112" t="s">
        <v>181</v>
      </c>
      <c r="H123" s="113">
        <v>72800</v>
      </c>
      <c r="I123" s="114">
        <f>IF(X123 = 30, H123 + SUM(S123:S123) - SUM(T123:T123) - SUM(P123:P123) - V123,0)</f>
        <v>0</v>
      </c>
      <c r="J123" s="115">
        <v>235303782209</v>
      </c>
      <c r="K123" s="116" t="s">
        <v>209</v>
      </c>
      <c r="L123" s="111" t="s">
        <v>146</v>
      </c>
      <c r="M123" s="111"/>
      <c r="N123" s="119"/>
      <c r="O123" s="119" t="s">
        <v>194</v>
      </c>
      <c r="P123" s="113">
        <v>72800</v>
      </c>
      <c r="Q123" s="112">
        <v>45327</v>
      </c>
      <c r="R123" s="111"/>
      <c r="S123" s="113"/>
      <c r="T123" s="113"/>
      <c r="U123" s="113"/>
      <c r="V123" s="117"/>
      <c r="W123" s="118"/>
      <c r="X123" s="107">
        <v>30</v>
      </c>
    </row>
    <row r="124" spans="1:24" s="107" customFormat="1" ht="108" customHeight="1" x14ac:dyDescent="0.3">
      <c r="A124" s="643">
        <v>14</v>
      </c>
      <c r="B124" s="649" t="s">
        <v>56</v>
      </c>
      <c r="C124" s="649" t="s">
        <v>163</v>
      </c>
      <c r="D124" s="649" t="s">
        <v>147</v>
      </c>
      <c r="E124" s="649" t="s">
        <v>221</v>
      </c>
      <c r="F124" s="646">
        <v>45351</v>
      </c>
      <c r="G124" s="652" t="s">
        <v>225</v>
      </c>
      <c r="H124" s="655">
        <v>561150</v>
      </c>
      <c r="I124" s="682">
        <f>IF(X124 = 31, H124 + SUM(S124:S129) - SUM(T124:T129) - SUM(P124:P129) - V124,0)</f>
        <v>143654.34999999998</v>
      </c>
      <c r="J124" s="685">
        <v>2310195709</v>
      </c>
      <c r="K124" s="706" t="s">
        <v>226</v>
      </c>
      <c r="L124" s="649" t="s">
        <v>146</v>
      </c>
      <c r="M124" s="649"/>
      <c r="N124" s="380">
        <v>45382</v>
      </c>
      <c r="O124" s="646" t="s">
        <v>194</v>
      </c>
      <c r="P124" s="371">
        <v>87825.15</v>
      </c>
      <c r="Q124" s="372">
        <v>45387</v>
      </c>
      <c r="R124" s="373"/>
      <c r="S124" s="371"/>
      <c r="T124" s="371"/>
      <c r="U124" s="655"/>
      <c r="V124" s="670"/>
      <c r="W124" s="679"/>
      <c r="X124" s="107">
        <v>31</v>
      </c>
    </row>
    <row r="125" spans="1:24" s="2" customFormat="1" x14ac:dyDescent="0.3">
      <c r="A125" s="644"/>
      <c r="B125" s="650"/>
      <c r="C125" s="650"/>
      <c r="D125" s="650"/>
      <c r="E125" s="650"/>
      <c r="F125" s="647"/>
      <c r="G125" s="653"/>
      <c r="H125" s="656"/>
      <c r="I125" s="683"/>
      <c r="J125" s="686"/>
      <c r="K125" s="707"/>
      <c r="L125" s="650"/>
      <c r="M125" s="650"/>
      <c r="N125" s="381">
        <v>45412</v>
      </c>
      <c r="O125" s="647"/>
      <c r="P125" s="374">
        <v>111025.60000000001</v>
      </c>
      <c r="Q125" s="375">
        <v>45420</v>
      </c>
      <c r="R125" s="376"/>
      <c r="S125" s="374"/>
      <c r="T125" s="374"/>
      <c r="U125" s="656"/>
      <c r="V125" s="671"/>
      <c r="W125" s="680"/>
      <c r="X125" s="2">
        <v>31</v>
      </c>
    </row>
    <row r="126" spans="1:24" s="2" customFormat="1" x14ac:dyDescent="0.3">
      <c r="A126" s="644"/>
      <c r="B126" s="650"/>
      <c r="C126" s="650"/>
      <c r="D126" s="650"/>
      <c r="E126" s="650"/>
      <c r="F126" s="647"/>
      <c r="G126" s="653"/>
      <c r="H126" s="656"/>
      <c r="I126" s="683"/>
      <c r="J126" s="686"/>
      <c r="K126" s="707"/>
      <c r="L126" s="650"/>
      <c r="M126" s="650"/>
      <c r="N126" s="381">
        <v>45443</v>
      </c>
      <c r="O126" s="647"/>
      <c r="P126" s="374">
        <v>104614</v>
      </c>
      <c r="Q126" s="375">
        <v>45454</v>
      </c>
      <c r="R126" s="376"/>
      <c r="S126" s="374"/>
      <c r="T126" s="374"/>
      <c r="U126" s="656"/>
      <c r="V126" s="671"/>
      <c r="W126" s="680"/>
      <c r="X126" s="2">
        <v>31</v>
      </c>
    </row>
    <row r="127" spans="1:24" s="2" customFormat="1" x14ac:dyDescent="0.3">
      <c r="A127" s="644"/>
      <c r="B127" s="650"/>
      <c r="C127" s="650"/>
      <c r="D127" s="650"/>
      <c r="E127" s="650"/>
      <c r="F127" s="647"/>
      <c r="G127" s="653"/>
      <c r="H127" s="656"/>
      <c r="I127" s="683"/>
      <c r="J127" s="686"/>
      <c r="K127" s="707"/>
      <c r="L127" s="650"/>
      <c r="M127" s="650"/>
      <c r="N127" s="381">
        <v>45473</v>
      </c>
      <c r="O127" s="647"/>
      <c r="P127" s="374">
        <v>68094.899999999994</v>
      </c>
      <c r="Q127" s="375">
        <v>45481</v>
      </c>
      <c r="R127" s="376"/>
      <c r="S127" s="374"/>
      <c r="T127" s="374"/>
      <c r="U127" s="656"/>
      <c r="V127" s="671"/>
      <c r="W127" s="680"/>
      <c r="X127" s="2">
        <v>31</v>
      </c>
    </row>
    <row r="128" spans="1:24" s="2" customFormat="1" x14ac:dyDescent="0.3">
      <c r="A128" s="644"/>
      <c r="B128" s="650"/>
      <c r="C128" s="650"/>
      <c r="D128" s="650"/>
      <c r="E128" s="650"/>
      <c r="F128" s="647"/>
      <c r="G128" s="653"/>
      <c r="H128" s="656"/>
      <c r="I128" s="683"/>
      <c r="J128" s="686"/>
      <c r="K128" s="707"/>
      <c r="L128" s="650"/>
      <c r="M128" s="650"/>
      <c r="N128" s="381">
        <v>45504</v>
      </c>
      <c r="O128" s="647"/>
      <c r="P128" s="374">
        <v>20358</v>
      </c>
      <c r="Q128" s="375">
        <v>45511</v>
      </c>
      <c r="R128" s="376"/>
      <c r="S128" s="374"/>
      <c r="T128" s="374"/>
      <c r="U128" s="656"/>
      <c r="V128" s="671"/>
      <c r="W128" s="680"/>
      <c r="X128" s="2">
        <v>31</v>
      </c>
    </row>
    <row r="129" spans="1:24" s="2" customFormat="1" x14ac:dyDescent="0.3">
      <c r="A129" s="645"/>
      <c r="B129" s="651"/>
      <c r="C129" s="651"/>
      <c r="D129" s="651"/>
      <c r="E129" s="651"/>
      <c r="F129" s="648"/>
      <c r="G129" s="654"/>
      <c r="H129" s="657"/>
      <c r="I129" s="684"/>
      <c r="J129" s="687"/>
      <c r="K129" s="708"/>
      <c r="L129" s="651"/>
      <c r="M129" s="651"/>
      <c r="N129" s="382">
        <v>45535</v>
      </c>
      <c r="O129" s="648"/>
      <c r="P129" s="377">
        <v>25578</v>
      </c>
      <c r="Q129" s="378">
        <v>45544</v>
      </c>
      <c r="R129" s="379"/>
      <c r="S129" s="377"/>
      <c r="T129" s="377"/>
      <c r="U129" s="657"/>
      <c r="V129" s="672"/>
      <c r="W129" s="681"/>
      <c r="X129" s="2">
        <v>31</v>
      </c>
    </row>
    <row r="130" spans="1:24" s="107" customFormat="1" ht="108" customHeight="1" x14ac:dyDescent="0.3">
      <c r="A130" s="497">
        <v>15</v>
      </c>
      <c r="B130" s="506" t="s">
        <v>56</v>
      </c>
      <c r="C130" s="506" t="s">
        <v>146</v>
      </c>
      <c r="D130" s="506" t="s">
        <v>147</v>
      </c>
      <c r="E130" s="506" t="s">
        <v>227</v>
      </c>
      <c r="F130" s="500">
        <v>45289</v>
      </c>
      <c r="G130" s="750" t="s">
        <v>228</v>
      </c>
      <c r="H130" s="503">
        <v>26827.32</v>
      </c>
      <c r="I130" s="579">
        <f>IF(X130 = 32, H130 + SUM(S130:S132) - SUM(T130:T132) - SUM(P130:P132) - V130,0)</f>
        <v>6706.8300000000017</v>
      </c>
      <c r="J130" s="753">
        <v>2353018870</v>
      </c>
      <c r="K130" s="756" t="s">
        <v>229</v>
      </c>
      <c r="L130" s="506" t="s">
        <v>146</v>
      </c>
      <c r="M130" s="506"/>
      <c r="N130" s="434">
        <v>45376</v>
      </c>
      <c r="O130" s="500" t="s">
        <v>194</v>
      </c>
      <c r="P130" s="425">
        <v>6706.83</v>
      </c>
      <c r="Q130" s="426">
        <v>45379</v>
      </c>
      <c r="R130" s="427"/>
      <c r="S130" s="425"/>
      <c r="T130" s="425"/>
      <c r="U130" s="503"/>
      <c r="V130" s="747"/>
      <c r="W130" s="512"/>
      <c r="X130" s="107">
        <v>32</v>
      </c>
    </row>
    <row r="131" spans="1:24" s="2" customFormat="1" x14ac:dyDescent="0.3">
      <c r="A131" s="498"/>
      <c r="B131" s="507"/>
      <c r="C131" s="507"/>
      <c r="D131" s="507"/>
      <c r="E131" s="507"/>
      <c r="F131" s="501"/>
      <c r="G131" s="751"/>
      <c r="H131" s="504"/>
      <c r="I131" s="580"/>
      <c r="J131" s="754"/>
      <c r="K131" s="757"/>
      <c r="L131" s="507"/>
      <c r="M131" s="507"/>
      <c r="N131" s="435">
        <v>45471</v>
      </c>
      <c r="O131" s="501"/>
      <c r="P131" s="428">
        <v>6706.83</v>
      </c>
      <c r="Q131" s="429">
        <v>45475</v>
      </c>
      <c r="R131" s="430"/>
      <c r="S131" s="428"/>
      <c r="T131" s="428"/>
      <c r="U131" s="504"/>
      <c r="V131" s="748"/>
      <c r="W131" s="513"/>
      <c r="X131" s="2">
        <v>32</v>
      </c>
    </row>
    <row r="132" spans="1:24" s="2" customFormat="1" x14ac:dyDescent="0.3">
      <c r="A132" s="499"/>
      <c r="B132" s="508"/>
      <c r="C132" s="508"/>
      <c r="D132" s="508"/>
      <c r="E132" s="508"/>
      <c r="F132" s="502"/>
      <c r="G132" s="752"/>
      <c r="H132" s="505"/>
      <c r="I132" s="581"/>
      <c r="J132" s="755"/>
      <c r="K132" s="758"/>
      <c r="L132" s="508"/>
      <c r="M132" s="508"/>
      <c r="N132" s="436">
        <v>45565</v>
      </c>
      <c r="O132" s="502"/>
      <c r="P132" s="431">
        <v>6706.83</v>
      </c>
      <c r="Q132" s="432">
        <v>45569</v>
      </c>
      <c r="R132" s="433"/>
      <c r="S132" s="431"/>
      <c r="T132" s="431"/>
      <c r="U132" s="505"/>
      <c r="V132" s="749"/>
      <c r="W132" s="514"/>
      <c r="X132" s="2">
        <v>32</v>
      </c>
    </row>
    <row r="133" spans="1:24" s="107" customFormat="1" ht="162" customHeight="1" x14ac:dyDescent="0.3">
      <c r="A133" s="643">
        <v>16</v>
      </c>
      <c r="B133" s="649" t="s">
        <v>56</v>
      </c>
      <c r="C133" s="649" t="s">
        <v>146</v>
      </c>
      <c r="D133" s="649" t="s">
        <v>147</v>
      </c>
      <c r="E133" s="649" t="s">
        <v>230</v>
      </c>
      <c r="F133" s="646">
        <v>45351</v>
      </c>
      <c r="G133" s="652" t="s">
        <v>204</v>
      </c>
      <c r="H133" s="655">
        <v>97850</v>
      </c>
      <c r="I133" s="682">
        <f>IF(X133 = 33, H133 + SUM(S133:S150) - SUM(T133:T150) - SUM(P133:P150) - V133,0)</f>
        <v>0</v>
      </c>
      <c r="J133" s="685">
        <v>235305769122</v>
      </c>
      <c r="K133" s="706" t="s">
        <v>160</v>
      </c>
      <c r="L133" s="649" t="s">
        <v>146</v>
      </c>
      <c r="M133" s="649"/>
      <c r="N133" s="380">
        <v>45382</v>
      </c>
      <c r="O133" s="646" t="s">
        <v>194</v>
      </c>
      <c r="P133" s="383">
        <v>5320</v>
      </c>
      <c r="Q133" s="384">
        <v>45387</v>
      </c>
      <c r="R133" s="373"/>
      <c r="S133" s="371"/>
      <c r="T133" s="371"/>
      <c r="U133" s="655"/>
      <c r="V133" s="670"/>
      <c r="W133" s="679"/>
      <c r="X133" s="107">
        <v>33</v>
      </c>
    </row>
    <row r="134" spans="1:24" s="2" customFormat="1" x14ac:dyDescent="0.3">
      <c r="A134" s="644"/>
      <c r="B134" s="650"/>
      <c r="C134" s="650"/>
      <c r="D134" s="650"/>
      <c r="E134" s="650"/>
      <c r="F134" s="647"/>
      <c r="G134" s="653"/>
      <c r="H134" s="656"/>
      <c r="I134" s="683"/>
      <c r="J134" s="686"/>
      <c r="K134" s="707"/>
      <c r="L134" s="650"/>
      <c r="M134" s="650"/>
      <c r="N134" s="381">
        <v>45382</v>
      </c>
      <c r="O134" s="647"/>
      <c r="P134" s="374">
        <v>6080</v>
      </c>
      <c r="Q134" s="375">
        <v>45387</v>
      </c>
      <c r="R134" s="376"/>
      <c r="S134" s="374"/>
      <c r="T134" s="374"/>
      <c r="U134" s="656"/>
      <c r="V134" s="671"/>
      <c r="W134" s="680"/>
      <c r="X134" s="2">
        <v>33</v>
      </c>
    </row>
    <row r="135" spans="1:24" s="2" customFormat="1" x14ac:dyDescent="0.3">
      <c r="A135" s="644"/>
      <c r="B135" s="650"/>
      <c r="C135" s="650"/>
      <c r="D135" s="650"/>
      <c r="E135" s="650"/>
      <c r="F135" s="647"/>
      <c r="G135" s="653"/>
      <c r="H135" s="656"/>
      <c r="I135" s="683"/>
      <c r="J135" s="686"/>
      <c r="K135" s="707"/>
      <c r="L135" s="650"/>
      <c r="M135" s="650"/>
      <c r="N135" s="381">
        <v>45382</v>
      </c>
      <c r="O135" s="647"/>
      <c r="P135" s="374">
        <v>7670</v>
      </c>
      <c r="Q135" s="375">
        <v>45387</v>
      </c>
      <c r="R135" s="376"/>
      <c r="S135" s="374"/>
      <c r="T135" s="374"/>
      <c r="U135" s="656"/>
      <c r="V135" s="671"/>
      <c r="W135" s="680"/>
      <c r="X135" s="2">
        <v>33</v>
      </c>
    </row>
    <row r="136" spans="1:24" s="2" customFormat="1" x14ac:dyDescent="0.3">
      <c r="A136" s="644"/>
      <c r="B136" s="650"/>
      <c r="C136" s="650"/>
      <c r="D136" s="650"/>
      <c r="E136" s="650"/>
      <c r="F136" s="647"/>
      <c r="G136" s="653"/>
      <c r="H136" s="656"/>
      <c r="I136" s="683"/>
      <c r="J136" s="686"/>
      <c r="K136" s="707"/>
      <c r="L136" s="650"/>
      <c r="M136" s="650"/>
      <c r="N136" s="381">
        <v>45412</v>
      </c>
      <c r="O136" s="647"/>
      <c r="P136" s="374">
        <v>6300</v>
      </c>
      <c r="Q136" s="375">
        <v>45418</v>
      </c>
      <c r="R136" s="376"/>
      <c r="S136" s="374"/>
      <c r="T136" s="374"/>
      <c r="U136" s="656"/>
      <c r="V136" s="671"/>
      <c r="W136" s="680"/>
      <c r="X136" s="2">
        <v>33</v>
      </c>
    </row>
    <row r="137" spans="1:24" s="2" customFormat="1" x14ac:dyDescent="0.3">
      <c r="A137" s="644"/>
      <c r="B137" s="650"/>
      <c r="C137" s="650"/>
      <c r="D137" s="650"/>
      <c r="E137" s="650"/>
      <c r="F137" s="647"/>
      <c r="G137" s="653"/>
      <c r="H137" s="656"/>
      <c r="I137" s="683"/>
      <c r="J137" s="686"/>
      <c r="K137" s="707"/>
      <c r="L137" s="650"/>
      <c r="M137" s="650"/>
      <c r="N137" s="381">
        <v>45412</v>
      </c>
      <c r="O137" s="647"/>
      <c r="P137" s="374">
        <v>7200</v>
      </c>
      <c r="Q137" s="375">
        <v>45418</v>
      </c>
      <c r="R137" s="376"/>
      <c r="S137" s="374"/>
      <c r="T137" s="374"/>
      <c r="U137" s="656"/>
      <c r="V137" s="671"/>
      <c r="W137" s="680"/>
      <c r="X137" s="2">
        <v>33</v>
      </c>
    </row>
    <row r="138" spans="1:24" s="2" customFormat="1" x14ac:dyDescent="0.3">
      <c r="A138" s="644"/>
      <c r="B138" s="650"/>
      <c r="C138" s="650"/>
      <c r="D138" s="650"/>
      <c r="E138" s="650"/>
      <c r="F138" s="647"/>
      <c r="G138" s="653"/>
      <c r="H138" s="656"/>
      <c r="I138" s="683"/>
      <c r="J138" s="686"/>
      <c r="K138" s="707"/>
      <c r="L138" s="650"/>
      <c r="M138" s="650"/>
      <c r="N138" s="381">
        <v>45412</v>
      </c>
      <c r="O138" s="647"/>
      <c r="P138" s="374">
        <v>7800</v>
      </c>
      <c r="Q138" s="375">
        <v>45418</v>
      </c>
      <c r="R138" s="376"/>
      <c r="S138" s="374"/>
      <c r="T138" s="374"/>
      <c r="U138" s="656"/>
      <c r="V138" s="671"/>
      <c r="W138" s="680"/>
      <c r="X138" s="2">
        <v>33</v>
      </c>
    </row>
    <row r="139" spans="1:24" s="2" customFormat="1" x14ac:dyDescent="0.3">
      <c r="A139" s="644"/>
      <c r="B139" s="650"/>
      <c r="C139" s="650"/>
      <c r="D139" s="650"/>
      <c r="E139" s="650"/>
      <c r="F139" s="647"/>
      <c r="G139" s="653"/>
      <c r="H139" s="656"/>
      <c r="I139" s="683"/>
      <c r="J139" s="686"/>
      <c r="K139" s="707"/>
      <c r="L139" s="650"/>
      <c r="M139" s="650"/>
      <c r="N139" s="381">
        <v>45443</v>
      </c>
      <c r="O139" s="647"/>
      <c r="P139" s="374">
        <v>5040</v>
      </c>
      <c r="Q139" s="375">
        <v>45454</v>
      </c>
      <c r="R139" s="376"/>
      <c r="S139" s="374"/>
      <c r="T139" s="374"/>
      <c r="U139" s="656"/>
      <c r="V139" s="671"/>
      <c r="W139" s="680"/>
      <c r="X139" s="2">
        <v>33</v>
      </c>
    </row>
    <row r="140" spans="1:24" s="2" customFormat="1" x14ac:dyDescent="0.3">
      <c r="A140" s="644"/>
      <c r="B140" s="650"/>
      <c r="C140" s="650"/>
      <c r="D140" s="650"/>
      <c r="E140" s="650"/>
      <c r="F140" s="647"/>
      <c r="G140" s="653"/>
      <c r="H140" s="656"/>
      <c r="I140" s="683"/>
      <c r="J140" s="686"/>
      <c r="K140" s="707"/>
      <c r="L140" s="650"/>
      <c r="M140" s="650"/>
      <c r="N140" s="381">
        <v>45443</v>
      </c>
      <c r="O140" s="647"/>
      <c r="P140" s="374">
        <v>5760</v>
      </c>
      <c r="Q140" s="375">
        <v>45454</v>
      </c>
      <c r="R140" s="376"/>
      <c r="S140" s="374"/>
      <c r="T140" s="374"/>
      <c r="U140" s="656"/>
      <c r="V140" s="671"/>
      <c r="W140" s="680"/>
      <c r="X140" s="2">
        <v>33</v>
      </c>
    </row>
    <row r="141" spans="1:24" s="2" customFormat="1" x14ac:dyDescent="0.3">
      <c r="A141" s="644"/>
      <c r="B141" s="650"/>
      <c r="C141" s="650"/>
      <c r="D141" s="650"/>
      <c r="E141" s="650"/>
      <c r="F141" s="647"/>
      <c r="G141" s="653"/>
      <c r="H141" s="656"/>
      <c r="I141" s="683"/>
      <c r="J141" s="686"/>
      <c r="K141" s="707"/>
      <c r="L141" s="650"/>
      <c r="M141" s="650"/>
      <c r="N141" s="381">
        <v>45443</v>
      </c>
      <c r="O141" s="647"/>
      <c r="P141" s="374">
        <v>8060</v>
      </c>
      <c r="Q141" s="375">
        <v>45454</v>
      </c>
      <c r="R141" s="376"/>
      <c r="S141" s="374"/>
      <c r="T141" s="374"/>
      <c r="U141" s="656"/>
      <c r="V141" s="671"/>
      <c r="W141" s="680"/>
      <c r="X141" s="2">
        <v>33</v>
      </c>
    </row>
    <row r="142" spans="1:24" s="2" customFormat="1" x14ac:dyDescent="0.3">
      <c r="A142" s="644"/>
      <c r="B142" s="650"/>
      <c r="C142" s="650"/>
      <c r="D142" s="650"/>
      <c r="E142" s="650"/>
      <c r="F142" s="647"/>
      <c r="G142" s="653"/>
      <c r="H142" s="656"/>
      <c r="I142" s="683"/>
      <c r="J142" s="686"/>
      <c r="K142" s="707"/>
      <c r="L142" s="650"/>
      <c r="M142" s="650"/>
      <c r="N142" s="381">
        <v>45473</v>
      </c>
      <c r="O142" s="647"/>
      <c r="P142" s="374">
        <v>3780</v>
      </c>
      <c r="Q142" s="375">
        <v>45481</v>
      </c>
      <c r="R142" s="376"/>
      <c r="S142" s="374"/>
      <c r="T142" s="374"/>
      <c r="U142" s="656"/>
      <c r="V142" s="671"/>
      <c r="W142" s="680"/>
      <c r="X142" s="2">
        <v>33</v>
      </c>
    </row>
    <row r="143" spans="1:24" s="2" customFormat="1" x14ac:dyDescent="0.3">
      <c r="A143" s="644"/>
      <c r="B143" s="650"/>
      <c r="C143" s="650"/>
      <c r="D143" s="650"/>
      <c r="E143" s="650"/>
      <c r="F143" s="647"/>
      <c r="G143" s="653"/>
      <c r="H143" s="656"/>
      <c r="I143" s="683"/>
      <c r="J143" s="686"/>
      <c r="K143" s="707"/>
      <c r="L143" s="650"/>
      <c r="M143" s="650"/>
      <c r="N143" s="381">
        <v>45473</v>
      </c>
      <c r="O143" s="647"/>
      <c r="P143" s="374">
        <v>4320</v>
      </c>
      <c r="Q143" s="375">
        <v>45481</v>
      </c>
      <c r="R143" s="376"/>
      <c r="S143" s="374"/>
      <c r="T143" s="374"/>
      <c r="U143" s="656"/>
      <c r="V143" s="671"/>
      <c r="W143" s="680"/>
      <c r="X143" s="2">
        <v>33</v>
      </c>
    </row>
    <row r="144" spans="1:24" s="2" customFormat="1" x14ac:dyDescent="0.3">
      <c r="A144" s="644"/>
      <c r="B144" s="650"/>
      <c r="C144" s="650"/>
      <c r="D144" s="650"/>
      <c r="E144" s="650"/>
      <c r="F144" s="647"/>
      <c r="G144" s="653"/>
      <c r="H144" s="656"/>
      <c r="I144" s="683"/>
      <c r="J144" s="686"/>
      <c r="K144" s="707"/>
      <c r="L144" s="650"/>
      <c r="M144" s="650"/>
      <c r="N144" s="381">
        <v>45473</v>
      </c>
      <c r="O144" s="647"/>
      <c r="P144" s="374">
        <v>7800</v>
      </c>
      <c r="Q144" s="375">
        <v>45481</v>
      </c>
      <c r="R144" s="376"/>
      <c r="S144" s="374"/>
      <c r="T144" s="374"/>
      <c r="U144" s="656"/>
      <c r="V144" s="671"/>
      <c r="W144" s="680"/>
      <c r="X144" s="2">
        <v>33</v>
      </c>
    </row>
    <row r="145" spans="1:24" s="2" customFormat="1" x14ac:dyDescent="0.3">
      <c r="A145" s="644"/>
      <c r="B145" s="650"/>
      <c r="C145" s="650"/>
      <c r="D145" s="650"/>
      <c r="E145" s="650"/>
      <c r="F145" s="647"/>
      <c r="G145" s="653"/>
      <c r="H145" s="656"/>
      <c r="I145" s="683"/>
      <c r="J145" s="686"/>
      <c r="K145" s="707"/>
      <c r="L145" s="650"/>
      <c r="M145" s="650"/>
      <c r="N145" s="381">
        <v>45504</v>
      </c>
      <c r="O145" s="647"/>
      <c r="P145" s="374">
        <v>1540</v>
      </c>
      <c r="Q145" s="375">
        <v>45512</v>
      </c>
      <c r="R145" s="376"/>
      <c r="S145" s="374"/>
      <c r="T145" s="374"/>
      <c r="U145" s="656"/>
      <c r="V145" s="671"/>
      <c r="W145" s="680"/>
      <c r="X145" s="2">
        <v>33</v>
      </c>
    </row>
    <row r="146" spans="1:24" s="2" customFormat="1" x14ac:dyDescent="0.3">
      <c r="A146" s="644"/>
      <c r="B146" s="650"/>
      <c r="C146" s="650"/>
      <c r="D146" s="650"/>
      <c r="E146" s="650"/>
      <c r="F146" s="647"/>
      <c r="G146" s="653"/>
      <c r="H146" s="656"/>
      <c r="I146" s="683"/>
      <c r="J146" s="686"/>
      <c r="K146" s="707"/>
      <c r="L146" s="650"/>
      <c r="M146" s="650"/>
      <c r="N146" s="381">
        <v>45504</v>
      </c>
      <c r="O146" s="647"/>
      <c r="P146" s="374">
        <v>1760</v>
      </c>
      <c r="Q146" s="375">
        <v>45512</v>
      </c>
      <c r="R146" s="376"/>
      <c r="S146" s="374"/>
      <c r="T146" s="374"/>
      <c r="U146" s="656"/>
      <c r="V146" s="671"/>
      <c r="W146" s="680"/>
      <c r="X146" s="2">
        <v>33</v>
      </c>
    </row>
    <row r="147" spans="1:24" s="2" customFormat="1" x14ac:dyDescent="0.3">
      <c r="A147" s="644"/>
      <c r="B147" s="650"/>
      <c r="C147" s="650"/>
      <c r="D147" s="650"/>
      <c r="E147" s="650"/>
      <c r="F147" s="647"/>
      <c r="G147" s="653"/>
      <c r="H147" s="656"/>
      <c r="I147" s="683"/>
      <c r="J147" s="686"/>
      <c r="K147" s="707"/>
      <c r="L147" s="650"/>
      <c r="M147" s="650"/>
      <c r="N147" s="381">
        <v>45504</v>
      </c>
      <c r="O147" s="647"/>
      <c r="P147" s="374">
        <v>8060</v>
      </c>
      <c r="Q147" s="375">
        <v>45512</v>
      </c>
      <c r="R147" s="376"/>
      <c r="S147" s="374"/>
      <c r="T147" s="374"/>
      <c r="U147" s="656"/>
      <c r="V147" s="671"/>
      <c r="W147" s="680"/>
      <c r="X147" s="2">
        <v>33</v>
      </c>
    </row>
    <row r="148" spans="1:24" s="2" customFormat="1" x14ac:dyDescent="0.3">
      <c r="A148" s="644"/>
      <c r="B148" s="650"/>
      <c r="C148" s="650"/>
      <c r="D148" s="650"/>
      <c r="E148" s="650"/>
      <c r="F148" s="647"/>
      <c r="G148" s="653"/>
      <c r="H148" s="656"/>
      <c r="I148" s="683"/>
      <c r="J148" s="686"/>
      <c r="K148" s="707"/>
      <c r="L148" s="650"/>
      <c r="M148" s="650"/>
      <c r="N148" s="381">
        <v>45535</v>
      </c>
      <c r="O148" s="647"/>
      <c r="P148" s="374">
        <v>1540</v>
      </c>
      <c r="Q148" s="375">
        <v>45545</v>
      </c>
      <c r="R148" s="376"/>
      <c r="S148" s="374"/>
      <c r="T148" s="374"/>
      <c r="U148" s="656"/>
      <c r="V148" s="671"/>
      <c r="W148" s="680"/>
      <c r="X148" s="2">
        <v>33</v>
      </c>
    </row>
    <row r="149" spans="1:24" s="2" customFormat="1" x14ac:dyDescent="0.3">
      <c r="A149" s="644"/>
      <c r="B149" s="650"/>
      <c r="C149" s="650"/>
      <c r="D149" s="650"/>
      <c r="E149" s="650"/>
      <c r="F149" s="647"/>
      <c r="G149" s="653"/>
      <c r="H149" s="656"/>
      <c r="I149" s="683"/>
      <c r="J149" s="686"/>
      <c r="K149" s="707"/>
      <c r="L149" s="650"/>
      <c r="M149" s="650"/>
      <c r="N149" s="381">
        <v>45535</v>
      </c>
      <c r="O149" s="647"/>
      <c r="P149" s="374">
        <v>1760</v>
      </c>
      <c r="Q149" s="375">
        <v>45545</v>
      </c>
      <c r="R149" s="376"/>
      <c r="S149" s="374"/>
      <c r="T149" s="374"/>
      <c r="U149" s="656"/>
      <c r="V149" s="671"/>
      <c r="W149" s="680"/>
      <c r="X149" s="2">
        <v>33</v>
      </c>
    </row>
    <row r="150" spans="1:24" s="2" customFormat="1" x14ac:dyDescent="0.3">
      <c r="A150" s="645"/>
      <c r="B150" s="651"/>
      <c r="C150" s="651"/>
      <c r="D150" s="651"/>
      <c r="E150" s="651"/>
      <c r="F150" s="648"/>
      <c r="G150" s="654"/>
      <c r="H150" s="657"/>
      <c r="I150" s="684"/>
      <c r="J150" s="687"/>
      <c r="K150" s="708"/>
      <c r="L150" s="651"/>
      <c r="M150" s="651"/>
      <c r="N150" s="382">
        <v>45535</v>
      </c>
      <c r="O150" s="648"/>
      <c r="P150" s="377">
        <v>8060</v>
      </c>
      <c r="Q150" s="378">
        <v>45545</v>
      </c>
      <c r="R150" s="379"/>
      <c r="S150" s="377"/>
      <c r="T150" s="377"/>
      <c r="U150" s="657"/>
      <c r="V150" s="672"/>
      <c r="W150" s="681"/>
      <c r="X150" s="2">
        <v>33</v>
      </c>
    </row>
    <row r="151" spans="1:24" s="107" customFormat="1" ht="108" x14ac:dyDescent="0.3">
      <c r="A151" s="159">
        <v>17</v>
      </c>
      <c r="B151" s="162" t="s">
        <v>56</v>
      </c>
      <c r="C151" s="162" t="s">
        <v>146</v>
      </c>
      <c r="D151" s="162" t="s">
        <v>147</v>
      </c>
      <c r="E151" s="162" t="s">
        <v>244</v>
      </c>
      <c r="F151" s="169">
        <v>45369</v>
      </c>
      <c r="G151" s="165" t="s">
        <v>243</v>
      </c>
      <c r="H151" s="161">
        <v>17000</v>
      </c>
      <c r="I151" s="166">
        <f>IF(X151 = 34, H151 + SUM(S151:S151) - SUM(T151:T151) - SUM(P151:P151) - V151,0)</f>
        <v>0</v>
      </c>
      <c r="J151" s="167">
        <v>235002152355</v>
      </c>
      <c r="K151" s="168" t="s">
        <v>238</v>
      </c>
      <c r="L151" s="162" t="s">
        <v>146</v>
      </c>
      <c r="M151" s="162"/>
      <c r="N151" s="169">
        <v>45369</v>
      </c>
      <c r="O151" s="169" t="s">
        <v>194</v>
      </c>
      <c r="P151" s="161">
        <v>17000</v>
      </c>
      <c r="Q151" s="165">
        <v>45370</v>
      </c>
      <c r="R151" s="162"/>
      <c r="S151" s="161"/>
      <c r="T151" s="161"/>
      <c r="U151" s="161"/>
      <c r="V151" s="163"/>
      <c r="W151" s="164"/>
      <c r="X151" s="107">
        <v>34</v>
      </c>
    </row>
    <row r="152" spans="1:24" s="107" customFormat="1" ht="108" x14ac:dyDescent="0.3">
      <c r="A152" s="159">
        <v>18</v>
      </c>
      <c r="B152" s="162" t="s">
        <v>56</v>
      </c>
      <c r="C152" s="162" t="s">
        <v>146</v>
      </c>
      <c r="D152" s="162" t="s">
        <v>147</v>
      </c>
      <c r="E152" s="162" t="s">
        <v>254</v>
      </c>
      <c r="F152" s="169">
        <v>45372</v>
      </c>
      <c r="G152" s="165" t="s">
        <v>240</v>
      </c>
      <c r="H152" s="161">
        <v>4690.3999999999996</v>
      </c>
      <c r="I152" s="166">
        <f>IF(X152 = 35, H152 + SUM(S152:S152) - SUM(T152:T152) - SUM(P152:P152) - V152,0)</f>
        <v>0</v>
      </c>
      <c r="J152" s="167">
        <v>7715995942</v>
      </c>
      <c r="K152" s="168" t="s">
        <v>241</v>
      </c>
      <c r="L152" s="162" t="s">
        <v>146</v>
      </c>
      <c r="M152" s="162"/>
      <c r="N152" s="169" t="s">
        <v>255</v>
      </c>
      <c r="O152" s="169" t="s">
        <v>194</v>
      </c>
      <c r="P152" s="161">
        <v>4690.3999999999996</v>
      </c>
      <c r="Q152" s="165">
        <v>45447</v>
      </c>
      <c r="R152" s="162"/>
      <c r="S152" s="161"/>
      <c r="T152" s="161"/>
      <c r="U152" s="161"/>
      <c r="V152" s="163"/>
      <c r="W152" s="164"/>
      <c r="X152" s="107">
        <v>35</v>
      </c>
    </row>
    <row r="153" spans="1:24" s="107" customFormat="1" ht="108" x14ac:dyDescent="0.3">
      <c r="A153" s="159">
        <v>19</v>
      </c>
      <c r="B153" s="162" t="s">
        <v>56</v>
      </c>
      <c r="C153" s="162" t="s">
        <v>146</v>
      </c>
      <c r="D153" s="162" t="s">
        <v>147</v>
      </c>
      <c r="E153" s="162" t="s">
        <v>253</v>
      </c>
      <c r="F153" s="169">
        <v>45372</v>
      </c>
      <c r="G153" s="165" t="s">
        <v>240</v>
      </c>
      <c r="H153" s="161">
        <v>43909.8</v>
      </c>
      <c r="I153" s="166">
        <f>IF(X153 = 36, H153 + SUM(S153:S153) - SUM(T153:T153) - SUM(P153:P153) - V153,0)</f>
        <v>0</v>
      </c>
      <c r="J153" s="167">
        <v>7715995942</v>
      </c>
      <c r="K153" s="168" t="s">
        <v>241</v>
      </c>
      <c r="L153" s="162" t="s">
        <v>146</v>
      </c>
      <c r="M153" s="162"/>
      <c r="N153" s="169" t="s">
        <v>255</v>
      </c>
      <c r="O153" s="169" t="s">
        <v>194</v>
      </c>
      <c r="P153" s="161">
        <v>43909.8</v>
      </c>
      <c r="Q153" s="165">
        <v>45467</v>
      </c>
      <c r="R153" s="162"/>
      <c r="S153" s="161"/>
      <c r="T153" s="161"/>
      <c r="U153" s="161"/>
      <c r="V153" s="163"/>
      <c r="W153" s="164"/>
      <c r="X153" s="107">
        <v>36</v>
      </c>
    </row>
    <row r="154" spans="1:24" s="107" customFormat="1" ht="108" x14ac:dyDescent="0.3">
      <c r="A154" s="180">
        <v>20</v>
      </c>
      <c r="B154" s="183" t="s">
        <v>56</v>
      </c>
      <c r="C154" s="183" t="s">
        <v>146</v>
      </c>
      <c r="D154" s="183" t="s">
        <v>147</v>
      </c>
      <c r="E154" s="183" t="s">
        <v>120</v>
      </c>
      <c r="F154" s="191">
        <v>45378</v>
      </c>
      <c r="G154" s="186" t="s">
        <v>207</v>
      </c>
      <c r="H154" s="182">
        <v>39025</v>
      </c>
      <c r="I154" s="187">
        <f>IF(X154 = 37, H154 + SUM(S154:S154) - SUM(T154:T154) - SUM(P154:P154) - V154,0)</f>
        <v>0</v>
      </c>
      <c r="J154" s="188">
        <v>235303483777</v>
      </c>
      <c r="K154" s="189" t="s">
        <v>260</v>
      </c>
      <c r="L154" s="183" t="s">
        <v>146</v>
      </c>
      <c r="M154" s="183"/>
      <c r="N154" s="191"/>
      <c r="O154" s="181" t="s">
        <v>194</v>
      </c>
      <c r="P154" s="182">
        <v>39025</v>
      </c>
      <c r="Q154" s="186">
        <v>45383</v>
      </c>
      <c r="R154" s="183"/>
      <c r="S154" s="182"/>
      <c r="T154" s="182"/>
      <c r="U154" s="182"/>
      <c r="V154" s="184"/>
      <c r="W154" s="185"/>
      <c r="X154" s="107">
        <v>37</v>
      </c>
    </row>
    <row r="155" spans="1:24" s="107" customFormat="1" ht="108" customHeight="1" x14ac:dyDescent="0.3">
      <c r="A155" s="562">
        <v>21</v>
      </c>
      <c r="B155" s="527" t="s">
        <v>56</v>
      </c>
      <c r="C155" s="527" t="s">
        <v>146</v>
      </c>
      <c r="D155" s="527" t="s">
        <v>147</v>
      </c>
      <c r="E155" s="527" t="s">
        <v>120</v>
      </c>
      <c r="F155" s="529">
        <v>45383</v>
      </c>
      <c r="G155" s="691" t="s">
        <v>265</v>
      </c>
      <c r="H155" s="538">
        <v>78554</v>
      </c>
      <c r="I155" s="541">
        <f>IF(X155 = 38, H155 + SUM(S155:S158) - SUM(T155:T158) - SUM(P155:P158) - V155,0)</f>
        <v>-7.2759576141834259E-12</v>
      </c>
      <c r="J155" s="694">
        <v>2353020735</v>
      </c>
      <c r="K155" s="697" t="s">
        <v>156</v>
      </c>
      <c r="L155" s="527" t="s">
        <v>146</v>
      </c>
      <c r="M155" s="527"/>
      <c r="N155" s="297">
        <v>45409</v>
      </c>
      <c r="O155" s="529" t="s">
        <v>194</v>
      </c>
      <c r="P155" s="288">
        <v>19269</v>
      </c>
      <c r="Q155" s="289">
        <v>45427</v>
      </c>
      <c r="R155" s="290"/>
      <c r="S155" s="288"/>
      <c r="T155" s="288"/>
      <c r="U155" s="538"/>
      <c r="V155" s="688">
        <v>34506.400000000001</v>
      </c>
      <c r="W155" s="525"/>
      <c r="X155" s="107">
        <v>38</v>
      </c>
    </row>
    <row r="156" spans="1:24" s="2" customFormat="1" x14ac:dyDescent="0.3">
      <c r="A156" s="564"/>
      <c r="B156" s="536"/>
      <c r="C156" s="536"/>
      <c r="D156" s="536"/>
      <c r="E156" s="536"/>
      <c r="F156" s="537"/>
      <c r="G156" s="692"/>
      <c r="H156" s="539"/>
      <c r="I156" s="542"/>
      <c r="J156" s="695"/>
      <c r="K156" s="698"/>
      <c r="L156" s="536"/>
      <c r="M156" s="536"/>
      <c r="N156" s="298">
        <v>45409</v>
      </c>
      <c r="O156" s="537"/>
      <c r="P156" s="291">
        <v>7560.8</v>
      </c>
      <c r="Q156" s="292">
        <v>45427</v>
      </c>
      <c r="R156" s="293"/>
      <c r="S156" s="291"/>
      <c r="T156" s="291"/>
      <c r="U156" s="539"/>
      <c r="V156" s="689"/>
      <c r="W156" s="535"/>
      <c r="X156" s="2">
        <v>38</v>
      </c>
    </row>
    <row r="157" spans="1:24" s="2" customFormat="1" x14ac:dyDescent="0.3">
      <c r="A157" s="564"/>
      <c r="B157" s="536"/>
      <c r="C157" s="536"/>
      <c r="D157" s="536"/>
      <c r="E157" s="536"/>
      <c r="F157" s="537"/>
      <c r="G157" s="692"/>
      <c r="H157" s="539"/>
      <c r="I157" s="542"/>
      <c r="J157" s="695"/>
      <c r="K157" s="698"/>
      <c r="L157" s="536"/>
      <c r="M157" s="536"/>
      <c r="N157" s="298">
        <v>45436</v>
      </c>
      <c r="O157" s="537"/>
      <c r="P157" s="291">
        <v>12465</v>
      </c>
      <c r="Q157" s="292">
        <v>45449</v>
      </c>
      <c r="R157" s="293"/>
      <c r="S157" s="291"/>
      <c r="T157" s="291"/>
      <c r="U157" s="539"/>
      <c r="V157" s="689"/>
      <c r="W157" s="535"/>
      <c r="X157" s="2">
        <v>38</v>
      </c>
    </row>
    <row r="158" spans="1:24" s="2" customFormat="1" x14ac:dyDescent="0.3">
      <c r="A158" s="563"/>
      <c r="B158" s="528"/>
      <c r="C158" s="528"/>
      <c r="D158" s="528"/>
      <c r="E158" s="528"/>
      <c r="F158" s="530"/>
      <c r="G158" s="693"/>
      <c r="H158" s="540"/>
      <c r="I158" s="543"/>
      <c r="J158" s="696"/>
      <c r="K158" s="699"/>
      <c r="L158" s="528"/>
      <c r="M158" s="528"/>
      <c r="N158" s="299">
        <v>45436</v>
      </c>
      <c r="O158" s="530"/>
      <c r="P158" s="294">
        <v>4752.8</v>
      </c>
      <c r="Q158" s="295">
        <v>45449</v>
      </c>
      <c r="R158" s="296"/>
      <c r="S158" s="294"/>
      <c r="T158" s="294"/>
      <c r="U158" s="540"/>
      <c r="V158" s="690"/>
      <c r="W158" s="526"/>
      <c r="X158" s="2">
        <v>38</v>
      </c>
    </row>
    <row r="159" spans="1:24" s="107" customFormat="1" ht="108" customHeight="1" x14ac:dyDescent="0.3">
      <c r="A159" s="562">
        <v>22</v>
      </c>
      <c r="B159" s="527" t="s">
        <v>56</v>
      </c>
      <c r="C159" s="527" t="s">
        <v>146</v>
      </c>
      <c r="D159" s="527" t="s">
        <v>147</v>
      </c>
      <c r="E159" s="527" t="s">
        <v>121</v>
      </c>
      <c r="F159" s="529">
        <v>45383</v>
      </c>
      <c r="G159" s="691" t="s">
        <v>265</v>
      </c>
      <c r="H159" s="538">
        <v>17220</v>
      </c>
      <c r="I159" s="541">
        <f>IF(X159 = 39, H159 + SUM(S159:S162) - SUM(T159:T162) - SUM(P159:P162) - V159,0)</f>
        <v>0</v>
      </c>
      <c r="J159" s="694">
        <v>2353020735</v>
      </c>
      <c r="K159" s="697" t="s">
        <v>156</v>
      </c>
      <c r="L159" s="527" t="s">
        <v>146</v>
      </c>
      <c r="M159" s="527"/>
      <c r="N159" s="297">
        <v>45409</v>
      </c>
      <c r="O159" s="529" t="s">
        <v>194</v>
      </c>
      <c r="P159" s="288">
        <v>5580</v>
      </c>
      <c r="Q159" s="289">
        <v>45427</v>
      </c>
      <c r="R159" s="290"/>
      <c r="S159" s="288"/>
      <c r="T159" s="288"/>
      <c r="U159" s="538"/>
      <c r="V159" s="688">
        <v>4182</v>
      </c>
      <c r="W159" s="525"/>
      <c r="X159" s="107">
        <v>39</v>
      </c>
    </row>
    <row r="160" spans="1:24" s="2" customFormat="1" x14ac:dyDescent="0.3">
      <c r="A160" s="564"/>
      <c r="B160" s="536"/>
      <c r="C160" s="536"/>
      <c r="D160" s="536"/>
      <c r="E160" s="536"/>
      <c r="F160" s="537"/>
      <c r="G160" s="692"/>
      <c r="H160" s="539"/>
      <c r="I160" s="542"/>
      <c r="J160" s="695"/>
      <c r="K160" s="698"/>
      <c r="L160" s="536"/>
      <c r="M160" s="536"/>
      <c r="N160" s="298">
        <v>45409</v>
      </c>
      <c r="O160" s="537"/>
      <c r="P160" s="291">
        <v>1800</v>
      </c>
      <c r="Q160" s="292">
        <v>45427</v>
      </c>
      <c r="R160" s="293"/>
      <c r="S160" s="291"/>
      <c r="T160" s="291"/>
      <c r="U160" s="539"/>
      <c r="V160" s="689"/>
      <c r="W160" s="535"/>
      <c r="X160" s="2">
        <v>39</v>
      </c>
    </row>
    <row r="161" spans="1:24" s="2" customFormat="1" x14ac:dyDescent="0.3">
      <c r="A161" s="564"/>
      <c r="B161" s="536"/>
      <c r="C161" s="536"/>
      <c r="D161" s="536"/>
      <c r="E161" s="536"/>
      <c r="F161" s="537"/>
      <c r="G161" s="692"/>
      <c r="H161" s="539"/>
      <c r="I161" s="542"/>
      <c r="J161" s="695"/>
      <c r="K161" s="698"/>
      <c r="L161" s="536"/>
      <c r="M161" s="536"/>
      <c r="N161" s="298">
        <v>45436</v>
      </c>
      <c r="O161" s="537"/>
      <c r="P161" s="291">
        <v>4278</v>
      </c>
      <c r="Q161" s="292">
        <v>45449</v>
      </c>
      <c r="R161" s="293"/>
      <c r="S161" s="291"/>
      <c r="T161" s="291"/>
      <c r="U161" s="539"/>
      <c r="V161" s="689"/>
      <c r="W161" s="535"/>
      <c r="X161" s="2">
        <v>39</v>
      </c>
    </row>
    <row r="162" spans="1:24" s="2" customFormat="1" x14ac:dyDescent="0.3">
      <c r="A162" s="563"/>
      <c r="B162" s="528"/>
      <c r="C162" s="528"/>
      <c r="D162" s="528"/>
      <c r="E162" s="528"/>
      <c r="F162" s="530"/>
      <c r="G162" s="693"/>
      <c r="H162" s="540"/>
      <c r="I162" s="543"/>
      <c r="J162" s="696"/>
      <c r="K162" s="699"/>
      <c r="L162" s="528"/>
      <c r="M162" s="528"/>
      <c r="N162" s="299">
        <v>45436</v>
      </c>
      <c r="O162" s="530"/>
      <c r="P162" s="294">
        <v>1380</v>
      </c>
      <c r="Q162" s="295">
        <v>45449</v>
      </c>
      <c r="R162" s="296"/>
      <c r="S162" s="294"/>
      <c r="T162" s="294"/>
      <c r="U162" s="540"/>
      <c r="V162" s="690"/>
      <c r="W162" s="526"/>
      <c r="X162" s="2">
        <v>39</v>
      </c>
    </row>
    <row r="163" spans="1:24" s="107" customFormat="1" ht="108" customHeight="1" x14ac:dyDescent="0.3">
      <c r="A163" s="562">
        <v>23</v>
      </c>
      <c r="B163" s="527" t="s">
        <v>56</v>
      </c>
      <c r="C163" s="527" t="s">
        <v>146</v>
      </c>
      <c r="D163" s="527" t="s">
        <v>220</v>
      </c>
      <c r="E163" s="527" t="s">
        <v>122</v>
      </c>
      <c r="F163" s="529">
        <v>45383</v>
      </c>
      <c r="G163" s="691" t="s">
        <v>265</v>
      </c>
      <c r="H163" s="538">
        <v>133217</v>
      </c>
      <c r="I163" s="541">
        <f>IF(X163 = 40, H163 + SUM(S163:S178) - SUM(T163:T178) - SUM(P163:P178) - V163,0)</f>
        <v>-7.2759576141834259E-12</v>
      </c>
      <c r="J163" s="694">
        <v>2353020735</v>
      </c>
      <c r="K163" s="697" t="s">
        <v>156</v>
      </c>
      <c r="L163" s="527" t="s">
        <v>146</v>
      </c>
      <c r="M163" s="527"/>
      <c r="N163" s="297">
        <v>45409</v>
      </c>
      <c r="O163" s="529" t="s">
        <v>194</v>
      </c>
      <c r="P163" s="288">
        <v>3748</v>
      </c>
      <c r="Q163" s="289">
        <v>45427</v>
      </c>
      <c r="R163" s="290"/>
      <c r="S163" s="288"/>
      <c r="T163" s="288"/>
      <c r="U163" s="538"/>
      <c r="V163" s="688">
        <v>25202.400000000001</v>
      </c>
      <c r="W163" s="525"/>
      <c r="X163" s="107">
        <v>40</v>
      </c>
    </row>
    <row r="164" spans="1:24" s="2" customFormat="1" x14ac:dyDescent="0.3">
      <c r="A164" s="564"/>
      <c r="B164" s="536"/>
      <c r="C164" s="536"/>
      <c r="D164" s="536"/>
      <c r="E164" s="536"/>
      <c r="F164" s="537"/>
      <c r="G164" s="692"/>
      <c r="H164" s="539"/>
      <c r="I164" s="542"/>
      <c r="J164" s="695"/>
      <c r="K164" s="698"/>
      <c r="L164" s="536"/>
      <c r="M164" s="536"/>
      <c r="N164" s="298">
        <v>45409</v>
      </c>
      <c r="O164" s="537"/>
      <c r="P164" s="291">
        <v>1398.86</v>
      </c>
      <c r="Q164" s="292">
        <v>45427</v>
      </c>
      <c r="R164" s="293"/>
      <c r="S164" s="291"/>
      <c r="T164" s="291"/>
      <c r="U164" s="539"/>
      <c r="V164" s="689"/>
      <c r="W164" s="535"/>
      <c r="X164" s="2">
        <v>40</v>
      </c>
    </row>
    <row r="165" spans="1:24" s="2" customFormat="1" x14ac:dyDescent="0.3">
      <c r="A165" s="564"/>
      <c r="B165" s="536"/>
      <c r="C165" s="536"/>
      <c r="D165" s="536"/>
      <c r="E165" s="536"/>
      <c r="F165" s="537"/>
      <c r="G165" s="692"/>
      <c r="H165" s="539"/>
      <c r="I165" s="542"/>
      <c r="J165" s="695"/>
      <c r="K165" s="698"/>
      <c r="L165" s="536"/>
      <c r="M165" s="536"/>
      <c r="N165" s="298">
        <v>45409</v>
      </c>
      <c r="O165" s="537"/>
      <c r="P165" s="291">
        <v>1144.54</v>
      </c>
      <c r="Q165" s="292">
        <v>45427</v>
      </c>
      <c r="R165" s="293"/>
      <c r="S165" s="291"/>
      <c r="T165" s="291"/>
      <c r="U165" s="539"/>
      <c r="V165" s="689"/>
      <c r="W165" s="535"/>
      <c r="X165" s="2">
        <v>40</v>
      </c>
    </row>
    <row r="166" spans="1:24" s="2" customFormat="1" x14ac:dyDescent="0.3">
      <c r="A166" s="564"/>
      <c r="B166" s="536"/>
      <c r="C166" s="536"/>
      <c r="D166" s="536"/>
      <c r="E166" s="536"/>
      <c r="F166" s="537"/>
      <c r="G166" s="692"/>
      <c r="H166" s="539"/>
      <c r="I166" s="542"/>
      <c r="J166" s="695"/>
      <c r="K166" s="698"/>
      <c r="L166" s="536"/>
      <c r="M166" s="536"/>
      <c r="N166" s="306">
        <v>45409</v>
      </c>
      <c r="O166" s="537"/>
      <c r="P166" s="291">
        <v>24221.35</v>
      </c>
      <c r="Q166" s="292">
        <v>45427</v>
      </c>
      <c r="R166" s="293"/>
      <c r="S166" s="291"/>
      <c r="T166" s="291"/>
      <c r="U166" s="539"/>
      <c r="V166" s="689"/>
      <c r="W166" s="535"/>
      <c r="X166" s="2">
        <v>40</v>
      </c>
    </row>
    <row r="167" spans="1:24" s="2" customFormat="1" x14ac:dyDescent="0.3">
      <c r="A167" s="564"/>
      <c r="B167" s="536"/>
      <c r="C167" s="536"/>
      <c r="D167" s="536"/>
      <c r="E167" s="536"/>
      <c r="F167" s="537"/>
      <c r="G167" s="692"/>
      <c r="H167" s="539"/>
      <c r="I167" s="542"/>
      <c r="J167" s="695"/>
      <c r="K167" s="698"/>
      <c r="L167" s="536"/>
      <c r="M167" s="536"/>
      <c r="N167" s="298">
        <v>45409</v>
      </c>
      <c r="O167" s="537"/>
      <c r="P167" s="291">
        <v>19817.650000000001</v>
      </c>
      <c r="Q167" s="292">
        <v>45427</v>
      </c>
      <c r="R167" s="293"/>
      <c r="S167" s="291"/>
      <c r="T167" s="291"/>
      <c r="U167" s="539"/>
      <c r="V167" s="689"/>
      <c r="W167" s="535"/>
      <c r="X167" s="2">
        <v>40</v>
      </c>
    </row>
    <row r="168" spans="1:24" s="2" customFormat="1" x14ac:dyDescent="0.3">
      <c r="A168" s="564"/>
      <c r="B168" s="536"/>
      <c r="C168" s="536"/>
      <c r="D168" s="536"/>
      <c r="E168" s="536"/>
      <c r="F168" s="537"/>
      <c r="G168" s="692"/>
      <c r="H168" s="539"/>
      <c r="I168" s="542"/>
      <c r="J168" s="695"/>
      <c r="K168" s="698"/>
      <c r="L168" s="536"/>
      <c r="M168" s="536"/>
      <c r="N168" s="298">
        <v>45409</v>
      </c>
      <c r="O168" s="537"/>
      <c r="P168" s="291">
        <v>14100</v>
      </c>
      <c r="Q168" s="292">
        <v>45427</v>
      </c>
      <c r="R168" s="293"/>
      <c r="S168" s="291"/>
      <c r="T168" s="291"/>
      <c r="U168" s="539"/>
      <c r="V168" s="689"/>
      <c r="W168" s="535"/>
      <c r="X168" s="2">
        <v>40</v>
      </c>
    </row>
    <row r="169" spans="1:24" s="2" customFormat="1" x14ac:dyDescent="0.3">
      <c r="A169" s="564"/>
      <c r="B169" s="536"/>
      <c r="C169" s="536"/>
      <c r="D169" s="536"/>
      <c r="E169" s="536"/>
      <c r="F169" s="537"/>
      <c r="G169" s="692"/>
      <c r="H169" s="539"/>
      <c r="I169" s="542"/>
      <c r="J169" s="695"/>
      <c r="K169" s="698"/>
      <c r="L169" s="536"/>
      <c r="M169" s="536"/>
      <c r="N169" s="306">
        <v>45409</v>
      </c>
      <c r="O169" s="537"/>
      <c r="P169" s="291">
        <v>810</v>
      </c>
      <c r="Q169" s="292">
        <v>45427</v>
      </c>
      <c r="R169" s="293"/>
      <c r="S169" s="291"/>
      <c r="T169" s="291"/>
      <c r="U169" s="539"/>
      <c r="V169" s="689"/>
      <c r="W169" s="535"/>
      <c r="X169" s="2">
        <v>40</v>
      </c>
    </row>
    <row r="170" spans="1:24" s="2" customFormat="1" x14ac:dyDescent="0.3">
      <c r="A170" s="564"/>
      <c r="B170" s="536"/>
      <c r="C170" s="536"/>
      <c r="D170" s="536"/>
      <c r="E170" s="536"/>
      <c r="F170" s="537"/>
      <c r="G170" s="692"/>
      <c r="H170" s="539"/>
      <c r="I170" s="542"/>
      <c r="J170" s="695"/>
      <c r="K170" s="698"/>
      <c r="L170" s="536"/>
      <c r="M170" s="536"/>
      <c r="N170" s="298">
        <v>45409</v>
      </c>
      <c r="O170" s="537"/>
      <c r="P170" s="291">
        <v>1200</v>
      </c>
      <c r="Q170" s="292">
        <v>45428</v>
      </c>
      <c r="R170" s="293"/>
      <c r="S170" s="291"/>
      <c r="T170" s="291"/>
      <c r="U170" s="539"/>
      <c r="V170" s="689"/>
      <c r="W170" s="535"/>
      <c r="X170" s="2">
        <v>40</v>
      </c>
    </row>
    <row r="171" spans="1:24" s="2" customFormat="1" x14ac:dyDescent="0.3">
      <c r="A171" s="564"/>
      <c r="B171" s="536"/>
      <c r="C171" s="536"/>
      <c r="D171" s="536"/>
      <c r="E171" s="536"/>
      <c r="F171" s="537"/>
      <c r="G171" s="692"/>
      <c r="H171" s="539"/>
      <c r="I171" s="542"/>
      <c r="J171" s="695"/>
      <c r="K171" s="698"/>
      <c r="L171" s="536"/>
      <c r="M171" s="536"/>
      <c r="N171" s="298">
        <v>45436</v>
      </c>
      <c r="O171" s="537"/>
      <c r="P171" s="291">
        <v>2436.1999999999998</v>
      </c>
      <c r="Q171" s="292">
        <v>45449</v>
      </c>
      <c r="R171" s="293"/>
      <c r="S171" s="291"/>
      <c r="T171" s="291"/>
      <c r="U171" s="539"/>
      <c r="V171" s="689"/>
      <c r="W171" s="535"/>
      <c r="X171" s="2">
        <v>40</v>
      </c>
    </row>
    <row r="172" spans="1:24" s="2" customFormat="1" x14ac:dyDescent="0.3">
      <c r="A172" s="564"/>
      <c r="B172" s="536"/>
      <c r="C172" s="536"/>
      <c r="D172" s="536"/>
      <c r="E172" s="536"/>
      <c r="F172" s="537"/>
      <c r="G172" s="692"/>
      <c r="H172" s="539"/>
      <c r="I172" s="542"/>
      <c r="J172" s="695"/>
      <c r="K172" s="698"/>
      <c r="L172" s="536"/>
      <c r="M172" s="536"/>
      <c r="N172" s="306">
        <v>45436</v>
      </c>
      <c r="O172" s="537"/>
      <c r="P172" s="291">
        <v>780</v>
      </c>
      <c r="Q172" s="292">
        <v>45449</v>
      </c>
      <c r="R172" s="293"/>
      <c r="S172" s="291"/>
      <c r="T172" s="291"/>
      <c r="U172" s="539"/>
      <c r="V172" s="689"/>
      <c r="W172" s="535"/>
      <c r="X172" s="2">
        <v>40</v>
      </c>
    </row>
    <row r="173" spans="1:24" s="2" customFormat="1" x14ac:dyDescent="0.3">
      <c r="A173" s="564"/>
      <c r="B173" s="536"/>
      <c r="C173" s="536"/>
      <c r="D173" s="536"/>
      <c r="E173" s="536"/>
      <c r="F173" s="537"/>
      <c r="G173" s="692"/>
      <c r="H173" s="539"/>
      <c r="I173" s="542"/>
      <c r="J173" s="695"/>
      <c r="K173" s="698"/>
      <c r="L173" s="536"/>
      <c r="M173" s="536"/>
      <c r="N173" s="298">
        <v>45436</v>
      </c>
      <c r="O173" s="537"/>
      <c r="P173" s="291">
        <v>1139.82</v>
      </c>
      <c r="Q173" s="292">
        <v>45449</v>
      </c>
      <c r="R173" s="293"/>
      <c r="S173" s="291"/>
      <c r="T173" s="291"/>
      <c r="U173" s="539"/>
      <c r="V173" s="689"/>
      <c r="W173" s="535"/>
      <c r="X173" s="2">
        <v>40</v>
      </c>
    </row>
    <row r="174" spans="1:24" s="2" customFormat="1" x14ac:dyDescent="0.3">
      <c r="A174" s="564"/>
      <c r="B174" s="536"/>
      <c r="C174" s="536"/>
      <c r="D174" s="536"/>
      <c r="E174" s="536"/>
      <c r="F174" s="537"/>
      <c r="G174" s="692"/>
      <c r="H174" s="539"/>
      <c r="I174" s="542"/>
      <c r="J174" s="695"/>
      <c r="K174" s="698"/>
      <c r="L174" s="536"/>
      <c r="M174" s="536"/>
      <c r="N174" s="306">
        <v>45436</v>
      </c>
      <c r="O174" s="537"/>
      <c r="P174" s="291">
        <v>932.58</v>
      </c>
      <c r="Q174" s="292">
        <v>45449</v>
      </c>
      <c r="R174" s="293"/>
      <c r="S174" s="291"/>
      <c r="T174" s="291"/>
      <c r="U174" s="539"/>
      <c r="V174" s="689"/>
      <c r="W174" s="535"/>
      <c r="X174" s="2">
        <v>40</v>
      </c>
    </row>
    <row r="175" spans="1:24" s="2" customFormat="1" x14ac:dyDescent="0.3">
      <c r="A175" s="564"/>
      <c r="B175" s="536"/>
      <c r="C175" s="536"/>
      <c r="D175" s="536"/>
      <c r="E175" s="536"/>
      <c r="F175" s="537"/>
      <c r="G175" s="692"/>
      <c r="H175" s="539"/>
      <c r="I175" s="542"/>
      <c r="J175" s="695"/>
      <c r="K175" s="698"/>
      <c r="L175" s="536"/>
      <c r="M175" s="536"/>
      <c r="N175" s="298">
        <v>45436</v>
      </c>
      <c r="O175" s="537"/>
      <c r="P175" s="291">
        <v>8640</v>
      </c>
      <c r="Q175" s="292">
        <v>45449</v>
      </c>
      <c r="R175" s="293"/>
      <c r="S175" s="291"/>
      <c r="T175" s="291"/>
      <c r="U175" s="539"/>
      <c r="V175" s="689"/>
      <c r="W175" s="535"/>
      <c r="X175" s="2">
        <v>40</v>
      </c>
    </row>
    <row r="176" spans="1:24" s="2" customFormat="1" x14ac:dyDescent="0.3">
      <c r="A176" s="564"/>
      <c r="B176" s="536"/>
      <c r="C176" s="536"/>
      <c r="D176" s="536"/>
      <c r="E176" s="536"/>
      <c r="F176" s="537"/>
      <c r="G176" s="692"/>
      <c r="H176" s="539"/>
      <c r="I176" s="542"/>
      <c r="J176" s="695"/>
      <c r="K176" s="698"/>
      <c r="L176" s="536"/>
      <c r="M176" s="536"/>
      <c r="N176" s="306">
        <v>45436</v>
      </c>
      <c r="O176" s="537"/>
      <c r="P176" s="291">
        <v>660</v>
      </c>
      <c r="Q176" s="292">
        <v>45449</v>
      </c>
      <c r="R176" s="293"/>
      <c r="S176" s="291"/>
      <c r="T176" s="291"/>
      <c r="U176" s="539"/>
      <c r="V176" s="689"/>
      <c r="W176" s="535"/>
      <c r="X176" s="2">
        <v>40</v>
      </c>
    </row>
    <row r="177" spans="1:24" s="2" customFormat="1" x14ac:dyDescent="0.3">
      <c r="A177" s="564"/>
      <c r="B177" s="536"/>
      <c r="C177" s="536"/>
      <c r="D177" s="536"/>
      <c r="E177" s="536"/>
      <c r="F177" s="537"/>
      <c r="G177" s="692"/>
      <c r="H177" s="539"/>
      <c r="I177" s="542"/>
      <c r="J177" s="695"/>
      <c r="K177" s="698"/>
      <c r="L177" s="536"/>
      <c r="M177" s="536"/>
      <c r="N177" s="298">
        <v>45436</v>
      </c>
      <c r="O177" s="537"/>
      <c r="P177" s="291">
        <v>14842.02</v>
      </c>
      <c r="Q177" s="292">
        <v>45449</v>
      </c>
      <c r="R177" s="293"/>
      <c r="S177" s="291"/>
      <c r="T177" s="291"/>
      <c r="U177" s="539"/>
      <c r="V177" s="689"/>
      <c r="W177" s="535"/>
      <c r="X177" s="2">
        <v>40</v>
      </c>
    </row>
    <row r="178" spans="1:24" s="2" customFormat="1" x14ac:dyDescent="0.3">
      <c r="A178" s="563"/>
      <c r="B178" s="528"/>
      <c r="C178" s="528"/>
      <c r="D178" s="528"/>
      <c r="E178" s="528"/>
      <c r="F178" s="530"/>
      <c r="G178" s="693"/>
      <c r="H178" s="540"/>
      <c r="I178" s="543"/>
      <c r="J178" s="696"/>
      <c r="K178" s="699"/>
      <c r="L178" s="528"/>
      <c r="M178" s="528"/>
      <c r="N178" s="306">
        <v>45436</v>
      </c>
      <c r="O178" s="530"/>
      <c r="P178" s="294">
        <v>12143.58</v>
      </c>
      <c r="Q178" s="292">
        <v>45449</v>
      </c>
      <c r="R178" s="296"/>
      <c r="S178" s="294"/>
      <c r="T178" s="294"/>
      <c r="U178" s="540"/>
      <c r="V178" s="690"/>
      <c r="W178" s="526"/>
      <c r="X178" s="2">
        <v>40</v>
      </c>
    </row>
    <row r="179" spans="1:24" s="107" customFormat="1" ht="108" customHeight="1" x14ac:dyDescent="0.3">
      <c r="A179" s="562">
        <v>24</v>
      </c>
      <c r="B179" s="527" t="s">
        <v>56</v>
      </c>
      <c r="C179" s="527" t="s">
        <v>146</v>
      </c>
      <c r="D179" s="527" t="s">
        <v>147</v>
      </c>
      <c r="E179" s="527" t="s">
        <v>123</v>
      </c>
      <c r="F179" s="529">
        <v>45383</v>
      </c>
      <c r="G179" s="691" t="s">
        <v>265</v>
      </c>
      <c r="H179" s="538">
        <v>540823.15</v>
      </c>
      <c r="I179" s="541">
        <f>IF(X179 = 41, H179 + SUM(S179:S197) - SUM(T179:T197) - SUM(P179:P197) - V179,0)</f>
        <v>2.9103830456733704E-11</v>
      </c>
      <c r="J179" s="694">
        <v>2353020735</v>
      </c>
      <c r="K179" s="697" t="s">
        <v>156</v>
      </c>
      <c r="L179" s="527" t="s">
        <v>146</v>
      </c>
      <c r="M179" s="527"/>
      <c r="N179" s="297">
        <v>45387</v>
      </c>
      <c r="O179" s="529" t="s">
        <v>194</v>
      </c>
      <c r="P179" s="288">
        <v>17160</v>
      </c>
      <c r="Q179" s="289">
        <v>45408</v>
      </c>
      <c r="R179" s="290"/>
      <c r="S179" s="288"/>
      <c r="T179" s="288"/>
      <c r="U179" s="538"/>
      <c r="V179" s="688">
        <v>70203.59</v>
      </c>
      <c r="W179" s="525"/>
      <c r="X179" s="107">
        <v>41</v>
      </c>
    </row>
    <row r="180" spans="1:24" s="2" customFormat="1" x14ac:dyDescent="0.3">
      <c r="A180" s="564"/>
      <c r="B180" s="536"/>
      <c r="C180" s="536"/>
      <c r="D180" s="536"/>
      <c r="E180" s="536"/>
      <c r="F180" s="537"/>
      <c r="G180" s="692"/>
      <c r="H180" s="539"/>
      <c r="I180" s="542"/>
      <c r="J180" s="695"/>
      <c r="K180" s="698"/>
      <c r="L180" s="536"/>
      <c r="M180" s="536"/>
      <c r="N180" s="298">
        <v>45387</v>
      </c>
      <c r="O180" s="537"/>
      <c r="P180" s="291">
        <v>49289.08</v>
      </c>
      <c r="Q180" s="292">
        <v>45408</v>
      </c>
      <c r="R180" s="293"/>
      <c r="S180" s="291"/>
      <c r="T180" s="291"/>
      <c r="U180" s="539"/>
      <c r="V180" s="689"/>
      <c r="W180" s="535"/>
      <c r="X180" s="2">
        <v>41</v>
      </c>
    </row>
    <row r="181" spans="1:24" s="2" customFormat="1" x14ac:dyDescent="0.3">
      <c r="A181" s="564"/>
      <c r="B181" s="536"/>
      <c r="C181" s="536"/>
      <c r="D181" s="536"/>
      <c r="E181" s="536"/>
      <c r="F181" s="537"/>
      <c r="G181" s="692"/>
      <c r="H181" s="539"/>
      <c r="I181" s="542"/>
      <c r="J181" s="695"/>
      <c r="K181" s="698"/>
      <c r="L181" s="536"/>
      <c r="M181" s="536"/>
      <c r="N181" s="298">
        <v>45387</v>
      </c>
      <c r="O181" s="537"/>
      <c r="P181" s="291">
        <v>3146.16</v>
      </c>
      <c r="Q181" s="292">
        <v>45408</v>
      </c>
      <c r="R181" s="293"/>
      <c r="S181" s="291"/>
      <c r="T181" s="291"/>
      <c r="U181" s="539"/>
      <c r="V181" s="689"/>
      <c r="W181" s="535"/>
      <c r="X181" s="2">
        <v>41</v>
      </c>
    </row>
    <row r="182" spans="1:24" s="2" customFormat="1" x14ac:dyDescent="0.3">
      <c r="A182" s="564"/>
      <c r="B182" s="536"/>
      <c r="C182" s="536"/>
      <c r="D182" s="536"/>
      <c r="E182" s="536"/>
      <c r="F182" s="537"/>
      <c r="G182" s="692"/>
      <c r="H182" s="539"/>
      <c r="I182" s="542"/>
      <c r="J182" s="695"/>
      <c r="K182" s="698"/>
      <c r="L182" s="536"/>
      <c r="M182" s="536"/>
      <c r="N182" s="298">
        <v>45401</v>
      </c>
      <c r="O182" s="537"/>
      <c r="P182" s="291">
        <v>32880</v>
      </c>
      <c r="Q182" s="292">
        <v>45408</v>
      </c>
      <c r="R182" s="293"/>
      <c r="S182" s="291"/>
      <c r="T182" s="291"/>
      <c r="U182" s="539"/>
      <c r="V182" s="689"/>
      <c r="W182" s="535"/>
      <c r="X182" s="2">
        <v>41</v>
      </c>
    </row>
    <row r="183" spans="1:24" s="2" customFormat="1" x14ac:dyDescent="0.3">
      <c r="A183" s="564"/>
      <c r="B183" s="536"/>
      <c r="C183" s="536"/>
      <c r="D183" s="536"/>
      <c r="E183" s="536"/>
      <c r="F183" s="537"/>
      <c r="G183" s="692"/>
      <c r="H183" s="539"/>
      <c r="I183" s="542"/>
      <c r="J183" s="695"/>
      <c r="K183" s="698"/>
      <c r="L183" s="536"/>
      <c r="M183" s="536"/>
      <c r="N183" s="298">
        <v>45401</v>
      </c>
      <c r="O183" s="537"/>
      <c r="P183" s="291">
        <v>94442.01</v>
      </c>
      <c r="Q183" s="292">
        <v>45408</v>
      </c>
      <c r="R183" s="293"/>
      <c r="S183" s="291"/>
      <c r="T183" s="291"/>
      <c r="U183" s="539"/>
      <c r="V183" s="689"/>
      <c r="W183" s="535"/>
      <c r="X183" s="2">
        <v>41</v>
      </c>
    </row>
    <row r="184" spans="1:24" s="2" customFormat="1" x14ac:dyDescent="0.3">
      <c r="A184" s="564"/>
      <c r="B184" s="536"/>
      <c r="C184" s="536"/>
      <c r="D184" s="536"/>
      <c r="E184" s="536"/>
      <c r="F184" s="537"/>
      <c r="G184" s="692"/>
      <c r="H184" s="539"/>
      <c r="I184" s="542"/>
      <c r="J184" s="695"/>
      <c r="K184" s="698"/>
      <c r="L184" s="536"/>
      <c r="M184" s="536"/>
      <c r="N184" s="298">
        <v>45401</v>
      </c>
      <c r="O184" s="537"/>
      <c r="P184" s="291">
        <v>6028.31</v>
      </c>
      <c r="Q184" s="292">
        <v>45408</v>
      </c>
      <c r="R184" s="293"/>
      <c r="S184" s="291"/>
      <c r="T184" s="291"/>
      <c r="U184" s="539"/>
      <c r="V184" s="689"/>
      <c r="W184" s="535"/>
      <c r="X184" s="2">
        <v>41</v>
      </c>
    </row>
    <row r="185" spans="1:24" s="2" customFormat="1" x14ac:dyDescent="0.3">
      <c r="A185" s="564"/>
      <c r="B185" s="536"/>
      <c r="C185" s="536"/>
      <c r="D185" s="536"/>
      <c r="E185" s="536"/>
      <c r="F185" s="537"/>
      <c r="G185" s="692"/>
      <c r="H185" s="539"/>
      <c r="I185" s="542"/>
      <c r="J185" s="695"/>
      <c r="K185" s="698"/>
      <c r="L185" s="536"/>
      <c r="M185" s="536"/>
      <c r="N185" s="298">
        <v>45409</v>
      </c>
      <c r="O185" s="537"/>
      <c r="P185" s="291">
        <v>19830</v>
      </c>
      <c r="Q185" s="292">
        <v>45427</v>
      </c>
      <c r="R185" s="293"/>
      <c r="S185" s="291"/>
      <c r="T185" s="291"/>
      <c r="U185" s="539"/>
      <c r="V185" s="689"/>
      <c r="W185" s="535"/>
      <c r="X185" s="2">
        <v>41</v>
      </c>
    </row>
    <row r="186" spans="1:24" s="2" customFormat="1" x14ac:dyDescent="0.3">
      <c r="A186" s="564"/>
      <c r="B186" s="536"/>
      <c r="C186" s="536"/>
      <c r="D186" s="536"/>
      <c r="E186" s="536"/>
      <c r="F186" s="537"/>
      <c r="G186" s="692"/>
      <c r="H186" s="539"/>
      <c r="I186" s="542"/>
      <c r="J186" s="695"/>
      <c r="K186" s="698"/>
      <c r="L186" s="536"/>
      <c r="M186" s="536"/>
      <c r="N186" s="298">
        <v>45415</v>
      </c>
      <c r="O186" s="537"/>
      <c r="P186" s="291">
        <v>6390</v>
      </c>
      <c r="Q186" s="292">
        <v>45427</v>
      </c>
      <c r="R186" s="293"/>
      <c r="S186" s="291"/>
      <c r="T186" s="291"/>
      <c r="U186" s="539"/>
      <c r="V186" s="689"/>
      <c r="W186" s="535"/>
      <c r="X186" s="2">
        <v>41</v>
      </c>
    </row>
    <row r="187" spans="1:24" s="2" customFormat="1" x14ac:dyDescent="0.3">
      <c r="A187" s="564"/>
      <c r="B187" s="536"/>
      <c r="C187" s="536"/>
      <c r="D187" s="536"/>
      <c r="E187" s="536"/>
      <c r="F187" s="537"/>
      <c r="G187" s="692"/>
      <c r="H187" s="539"/>
      <c r="I187" s="542"/>
      <c r="J187" s="695"/>
      <c r="K187" s="698"/>
      <c r="L187" s="536"/>
      <c r="M187" s="536"/>
      <c r="N187" s="298">
        <v>45409</v>
      </c>
      <c r="O187" s="537"/>
      <c r="P187" s="291">
        <v>56958.18</v>
      </c>
      <c r="Q187" s="292">
        <v>45429</v>
      </c>
      <c r="R187" s="293"/>
      <c r="S187" s="291"/>
      <c r="T187" s="291"/>
      <c r="U187" s="539"/>
      <c r="V187" s="689"/>
      <c r="W187" s="535"/>
      <c r="X187" s="2">
        <v>41</v>
      </c>
    </row>
    <row r="188" spans="1:24" s="2" customFormat="1" x14ac:dyDescent="0.3">
      <c r="A188" s="564"/>
      <c r="B188" s="536"/>
      <c r="C188" s="536"/>
      <c r="D188" s="536"/>
      <c r="E188" s="536"/>
      <c r="F188" s="537"/>
      <c r="G188" s="692"/>
      <c r="H188" s="539"/>
      <c r="I188" s="542"/>
      <c r="J188" s="695"/>
      <c r="K188" s="698"/>
      <c r="L188" s="536"/>
      <c r="M188" s="536"/>
      <c r="N188" s="298">
        <v>45409</v>
      </c>
      <c r="O188" s="537"/>
      <c r="P188" s="291">
        <v>3635.69</v>
      </c>
      <c r="Q188" s="292">
        <v>45429</v>
      </c>
      <c r="R188" s="293"/>
      <c r="S188" s="291"/>
      <c r="T188" s="291"/>
      <c r="U188" s="539"/>
      <c r="V188" s="689"/>
      <c r="W188" s="535"/>
      <c r="X188" s="2">
        <v>41</v>
      </c>
    </row>
    <row r="189" spans="1:24" s="2" customFormat="1" x14ac:dyDescent="0.3">
      <c r="A189" s="564"/>
      <c r="B189" s="536"/>
      <c r="C189" s="536"/>
      <c r="D189" s="536"/>
      <c r="E189" s="536"/>
      <c r="F189" s="537"/>
      <c r="G189" s="692"/>
      <c r="H189" s="539"/>
      <c r="I189" s="542"/>
      <c r="J189" s="695"/>
      <c r="K189" s="698"/>
      <c r="L189" s="536"/>
      <c r="M189" s="536"/>
      <c r="N189" s="298">
        <v>45415</v>
      </c>
      <c r="O189" s="537"/>
      <c r="P189" s="291">
        <v>18354.150000000001</v>
      </c>
      <c r="Q189" s="292">
        <v>45429</v>
      </c>
      <c r="R189" s="293"/>
      <c r="S189" s="291"/>
      <c r="T189" s="291"/>
      <c r="U189" s="539"/>
      <c r="V189" s="689"/>
      <c r="W189" s="535"/>
      <c r="X189" s="2">
        <v>41</v>
      </c>
    </row>
    <row r="190" spans="1:24" s="2" customFormat="1" x14ac:dyDescent="0.3">
      <c r="A190" s="564"/>
      <c r="B190" s="536"/>
      <c r="C190" s="536"/>
      <c r="D190" s="536"/>
      <c r="E190" s="536"/>
      <c r="F190" s="537"/>
      <c r="G190" s="692"/>
      <c r="H190" s="539"/>
      <c r="I190" s="542"/>
      <c r="J190" s="695"/>
      <c r="K190" s="698"/>
      <c r="L190" s="536"/>
      <c r="M190" s="536"/>
      <c r="N190" s="298">
        <v>45415</v>
      </c>
      <c r="O190" s="537"/>
      <c r="P190" s="291">
        <v>1171.56</v>
      </c>
      <c r="Q190" s="292">
        <v>45429</v>
      </c>
      <c r="R190" s="293"/>
      <c r="S190" s="291"/>
      <c r="T190" s="291"/>
      <c r="U190" s="539"/>
      <c r="V190" s="689"/>
      <c r="W190" s="535"/>
      <c r="X190" s="2">
        <v>41</v>
      </c>
    </row>
    <row r="191" spans="1:24" s="2" customFormat="1" x14ac:dyDescent="0.3">
      <c r="A191" s="564"/>
      <c r="B191" s="536"/>
      <c r="C191" s="536"/>
      <c r="D191" s="536"/>
      <c r="E191" s="536"/>
      <c r="F191" s="537"/>
      <c r="G191" s="692"/>
      <c r="H191" s="539"/>
      <c r="I191" s="542"/>
      <c r="J191" s="695"/>
      <c r="K191" s="698"/>
      <c r="L191" s="536"/>
      <c r="M191" s="536"/>
      <c r="N191" s="298">
        <v>45429</v>
      </c>
      <c r="O191" s="537"/>
      <c r="P191" s="291">
        <v>23070</v>
      </c>
      <c r="Q191" s="292">
        <v>45439</v>
      </c>
      <c r="R191" s="293"/>
      <c r="S191" s="291"/>
      <c r="T191" s="291"/>
      <c r="U191" s="539"/>
      <c r="V191" s="689"/>
      <c r="W191" s="535"/>
      <c r="X191" s="2">
        <v>41</v>
      </c>
    </row>
    <row r="192" spans="1:24" s="2" customFormat="1" x14ac:dyDescent="0.3">
      <c r="A192" s="564"/>
      <c r="B192" s="536"/>
      <c r="C192" s="536"/>
      <c r="D192" s="536"/>
      <c r="E192" s="536"/>
      <c r="F192" s="537"/>
      <c r="G192" s="692"/>
      <c r="H192" s="539"/>
      <c r="I192" s="542"/>
      <c r="J192" s="695"/>
      <c r="K192" s="698"/>
      <c r="L192" s="536"/>
      <c r="M192" s="536"/>
      <c r="N192" s="298">
        <v>45429</v>
      </c>
      <c r="O192" s="537"/>
      <c r="P192" s="291">
        <v>66264.509999999995</v>
      </c>
      <c r="Q192" s="292">
        <v>45439</v>
      </c>
      <c r="R192" s="293"/>
      <c r="S192" s="291"/>
      <c r="T192" s="291"/>
      <c r="U192" s="539"/>
      <c r="V192" s="689"/>
      <c r="W192" s="535"/>
      <c r="X192" s="2">
        <v>41</v>
      </c>
    </row>
    <row r="193" spans="1:24" s="2" customFormat="1" x14ac:dyDescent="0.3">
      <c r="A193" s="564"/>
      <c r="B193" s="536"/>
      <c r="C193" s="536"/>
      <c r="D193" s="536"/>
      <c r="E193" s="536"/>
      <c r="F193" s="537"/>
      <c r="G193" s="692"/>
      <c r="H193" s="539"/>
      <c r="I193" s="542"/>
      <c r="J193" s="695"/>
      <c r="K193" s="698"/>
      <c r="L193" s="536"/>
      <c r="M193" s="536"/>
      <c r="N193" s="298">
        <v>45429</v>
      </c>
      <c r="O193" s="537"/>
      <c r="P193" s="291">
        <v>4229.72</v>
      </c>
      <c r="Q193" s="292">
        <v>45439</v>
      </c>
      <c r="R193" s="293"/>
      <c r="S193" s="291"/>
      <c r="T193" s="291"/>
      <c r="U193" s="539"/>
      <c r="V193" s="689"/>
      <c r="W193" s="535"/>
      <c r="X193" s="2">
        <v>41</v>
      </c>
    </row>
    <row r="194" spans="1:24" s="2" customFormat="1" x14ac:dyDescent="0.3">
      <c r="A194" s="564"/>
      <c r="B194" s="536"/>
      <c r="C194" s="536"/>
      <c r="D194" s="536"/>
      <c r="E194" s="536"/>
      <c r="F194" s="537"/>
      <c r="G194" s="692"/>
      <c r="H194" s="539"/>
      <c r="I194" s="542"/>
      <c r="J194" s="695"/>
      <c r="K194" s="698"/>
      <c r="L194" s="536"/>
      <c r="M194" s="536"/>
      <c r="N194" s="298">
        <v>45436</v>
      </c>
      <c r="O194" s="537"/>
      <c r="P194" s="291">
        <v>16710</v>
      </c>
      <c r="Q194" s="292">
        <v>45449</v>
      </c>
      <c r="R194" s="293"/>
      <c r="S194" s="291"/>
      <c r="T194" s="291"/>
      <c r="U194" s="539"/>
      <c r="V194" s="689"/>
      <c r="W194" s="535"/>
      <c r="X194" s="2">
        <v>41</v>
      </c>
    </row>
    <row r="195" spans="1:24" s="2" customFormat="1" x14ac:dyDescent="0.3">
      <c r="A195" s="564"/>
      <c r="B195" s="536"/>
      <c r="C195" s="536"/>
      <c r="D195" s="536"/>
      <c r="E195" s="536"/>
      <c r="F195" s="537"/>
      <c r="G195" s="692"/>
      <c r="H195" s="539"/>
      <c r="I195" s="542"/>
      <c r="J195" s="695"/>
      <c r="K195" s="698"/>
      <c r="L195" s="536"/>
      <c r="M195" s="536"/>
      <c r="N195" s="298">
        <v>45436</v>
      </c>
      <c r="O195" s="537"/>
      <c r="P195" s="291">
        <v>47996.53</v>
      </c>
      <c r="Q195" s="292">
        <v>45449</v>
      </c>
      <c r="R195" s="293"/>
      <c r="S195" s="291"/>
      <c r="T195" s="291"/>
      <c r="U195" s="539"/>
      <c r="V195" s="689"/>
      <c r="W195" s="535"/>
      <c r="X195" s="2">
        <v>41</v>
      </c>
    </row>
    <row r="196" spans="1:24" s="2" customFormat="1" x14ac:dyDescent="0.3">
      <c r="A196" s="564"/>
      <c r="B196" s="536"/>
      <c r="C196" s="536"/>
      <c r="D196" s="536"/>
      <c r="E196" s="536"/>
      <c r="F196" s="537"/>
      <c r="G196" s="692"/>
      <c r="H196" s="539"/>
      <c r="I196" s="542"/>
      <c r="J196" s="695"/>
      <c r="K196" s="698"/>
      <c r="L196" s="536"/>
      <c r="M196" s="536"/>
      <c r="N196" s="298">
        <v>45436</v>
      </c>
      <c r="O196" s="537"/>
      <c r="P196" s="291">
        <v>3063.66</v>
      </c>
      <c r="Q196" s="292">
        <v>45449</v>
      </c>
      <c r="R196" s="293"/>
      <c r="S196" s="291"/>
      <c r="T196" s="291"/>
      <c r="U196" s="539"/>
      <c r="V196" s="689"/>
      <c r="W196" s="535"/>
      <c r="X196" s="2">
        <v>41</v>
      </c>
    </row>
    <row r="197" spans="1:24" s="2" customFormat="1" x14ac:dyDescent="0.3">
      <c r="A197" s="563"/>
      <c r="B197" s="528"/>
      <c r="C197" s="528"/>
      <c r="D197" s="528"/>
      <c r="E197" s="528"/>
      <c r="F197" s="530"/>
      <c r="G197" s="693"/>
      <c r="H197" s="540"/>
      <c r="I197" s="543"/>
      <c r="J197" s="696"/>
      <c r="K197" s="699"/>
      <c r="L197" s="528"/>
      <c r="M197" s="528"/>
      <c r="N197" s="299"/>
      <c r="O197" s="530"/>
      <c r="P197" s="294"/>
      <c r="Q197" s="295"/>
      <c r="R197" s="296"/>
      <c r="S197" s="294"/>
      <c r="T197" s="294"/>
      <c r="U197" s="540"/>
      <c r="V197" s="690"/>
      <c r="W197" s="526"/>
      <c r="X197" s="2">
        <v>41</v>
      </c>
    </row>
    <row r="198" spans="1:24" s="107" customFormat="1" ht="108" customHeight="1" x14ac:dyDescent="0.3">
      <c r="A198" s="237">
        <v>25</v>
      </c>
      <c r="B198" s="236" t="s">
        <v>56</v>
      </c>
      <c r="C198" s="236" t="s">
        <v>146</v>
      </c>
      <c r="D198" s="236" t="s">
        <v>147</v>
      </c>
      <c r="E198" s="236" t="s">
        <v>280</v>
      </c>
      <c r="F198" s="233">
        <v>45414</v>
      </c>
      <c r="G198" s="235" t="s">
        <v>281</v>
      </c>
      <c r="H198" s="234">
        <v>18970</v>
      </c>
      <c r="I198" s="238">
        <f>IF(X198 = 42, H198 + SUM(S198:S198) - SUM(T198:T198) - SUM(P198:P198) - V198,0)</f>
        <v>0</v>
      </c>
      <c r="J198" s="239">
        <v>235002152355</v>
      </c>
      <c r="K198" s="240" t="s">
        <v>238</v>
      </c>
      <c r="L198" s="236" t="s">
        <v>146</v>
      </c>
      <c r="M198" s="236"/>
      <c r="N198" s="233"/>
      <c r="O198" s="233" t="s">
        <v>194</v>
      </c>
      <c r="P198" s="234">
        <v>18970</v>
      </c>
      <c r="Q198" s="235">
        <v>45418</v>
      </c>
      <c r="R198" s="236"/>
      <c r="S198" s="234"/>
      <c r="T198" s="234"/>
      <c r="U198" s="234"/>
      <c r="V198" s="241"/>
      <c r="W198" s="242"/>
      <c r="X198" s="107">
        <v>42</v>
      </c>
    </row>
    <row r="199" spans="1:24" s="107" customFormat="1" ht="108" x14ac:dyDescent="0.3">
      <c r="A199" s="253">
        <v>26</v>
      </c>
      <c r="B199" s="254" t="s">
        <v>56</v>
      </c>
      <c r="C199" s="254" t="s">
        <v>146</v>
      </c>
      <c r="D199" s="254" t="s">
        <v>147</v>
      </c>
      <c r="E199" s="254" t="s">
        <v>283</v>
      </c>
      <c r="F199" s="255">
        <v>45414</v>
      </c>
      <c r="G199" s="256" t="s">
        <v>282</v>
      </c>
      <c r="H199" s="257">
        <v>8375</v>
      </c>
      <c r="I199" s="258">
        <f>IF(X199 = 43, H199 + SUM(S199:S199) - SUM(T199:T199) - SUM(P199:P199) - V199,0)</f>
        <v>0</v>
      </c>
      <c r="J199" s="259">
        <v>235002152355</v>
      </c>
      <c r="K199" s="260" t="s">
        <v>238</v>
      </c>
      <c r="L199" s="261" t="s">
        <v>146</v>
      </c>
      <c r="M199" s="254"/>
      <c r="N199" s="255"/>
      <c r="O199" s="255" t="s">
        <v>194</v>
      </c>
      <c r="P199" s="257">
        <v>8375</v>
      </c>
      <c r="Q199" s="256">
        <v>45418</v>
      </c>
      <c r="R199" s="254"/>
      <c r="S199" s="257"/>
      <c r="T199" s="257"/>
      <c r="U199" s="257"/>
      <c r="V199" s="262"/>
      <c r="W199" s="263"/>
      <c r="X199" s="107">
        <v>43</v>
      </c>
    </row>
    <row r="200" spans="1:24" s="107" customFormat="1" ht="108" x14ac:dyDescent="0.3">
      <c r="A200" s="243">
        <v>27</v>
      </c>
      <c r="B200" s="244" t="s">
        <v>56</v>
      </c>
      <c r="C200" s="244" t="s">
        <v>146</v>
      </c>
      <c r="D200" s="244" t="s">
        <v>147</v>
      </c>
      <c r="E200" s="244" t="s">
        <v>284</v>
      </c>
      <c r="F200" s="245">
        <v>45415</v>
      </c>
      <c r="G200" s="246" t="s">
        <v>285</v>
      </c>
      <c r="H200" s="247">
        <v>2200</v>
      </c>
      <c r="I200" s="248">
        <f>IF(X200 = 44, H200 + SUM(S200:S200) - SUM(T200:T200) - SUM(P200:P200) - V200,0)</f>
        <v>0</v>
      </c>
      <c r="J200" s="249">
        <v>235305769122</v>
      </c>
      <c r="K200" s="250" t="s">
        <v>160</v>
      </c>
      <c r="L200" s="244" t="s">
        <v>146</v>
      </c>
      <c r="M200" s="244"/>
      <c r="N200" s="245">
        <v>45415</v>
      </c>
      <c r="O200" s="245" t="s">
        <v>194</v>
      </c>
      <c r="P200" s="247">
        <v>2200</v>
      </c>
      <c r="Q200" s="246">
        <v>45427</v>
      </c>
      <c r="R200" s="244"/>
      <c r="S200" s="247"/>
      <c r="T200" s="247"/>
      <c r="U200" s="247"/>
      <c r="V200" s="251"/>
      <c r="W200" s="252"/>
      <c r="X200" s="107">
        <v>44</v>
      </c>
    </row>
    <row r="201" spans="1:24" s="107" customFormat="1" ht="108" customHeight="1" x14ac:dyDescent="0.3">
      <c r="A201" s="515">
        <v>28</v>
      </c>
      <c r="B201" s="521" t="s">
        <v>56</v>
      </c>
      <c r="C201" s="521" t="s">
        <v>146</v>
      </c>
      <c r="D201" s="521" t="s">
        <v>147</v>
      </c>
      <c r="E201" s="521" t="s">
        <v>301</v>
      </c>
      <c r="F201" s="517">
        <v>45457</v>
      </c>
      <c r="G201" s="622" t="s">
        <v>302</v>
      </c>
      <c r="H201" s="519">
        <v>100710</v>
      </c>
      <c r="I201" s="533">
        <f>IF(X201 = 45, H201 + SUM(S201:S203) - SUM(T201:T203) - SUM(P201:P203) - V201,0)</f>
        <v>0</v>
      </c>
      <c r="J201" s="631">
        <v>23530020735</v>
      </c>
      <c r="K201" s="634" t="s">
        <v>156</v>
      </c>
      <c r="L201" s="521" t="s">
        <v>146</v>
      </c>
      <c r="M201" s="521"/>
      <c r="N201" s="338">
        <v>45478</v>
      </c>
      <c r="O201" s="517" t="s">
        <v>194</v>
      </c>
      <c r="P201" s="323">
        <v>11190</v>
      </c>
      <c r="Q201" s="324">
        <v>45489</v>
      </c>
      <c r="R201" s="325"/>
      <c r="S201" s="323"/>
      <c r="T201" s="323"/>
      <c r="U201" s="519"/>
      <c r="V201" s="616"/>
      <c r="W201" s="531"/>
      <c r="X201" s="107">
        <v>45</v>
      </c>
    </row>
    <row r="202" spans="1:24" s="2" customFormat="1" x14ac:dyDescent="0.3">
      <c r="A202" s="630"/>
      <c r="B202" s="619"/>
      <c r="C202" s="619"/>
      <c r="D202" s="619"/>
      <c r="E202" s="619"/>
      <c r="F202" s="621"/>
      <c r="G202" s="623"/>
      <c r="H202" s="615"/>
      <c r="I202" s="625"/>
      <c r="J202" s="632"/>
      <c r="K202" s="635"/>
      <c r="L202" s="619"/>
      <c r="M202" s="619"/>
      <c r="N202" s="339">
        <v>45478</v>
      </c>
      <c r="O202" s="621"/>
      <c r="P202" s="326">
        <v>17904</v>
      </c>
      <c r="Q202" s="327">
        <v>45489</v>
      </c>
      <c r="R202" s="328"/>
      <c r="S202" s="326"/>
      <c r="T202" s="326"/>
      <c r="U202" s="615"/>
      <c r="V202" s="617"/>
      <c r="W202" s="620"/>
      <c r="X202" s="2">
        <v>45</v>
      </c>
    </row>
    <row r="203" spans="1:24" s="2" customFormat="1" x14ac:dyDescent="0.3">
      <c r="A203" s="516"/>
      <c r="B203" s="522"/>
      <c r="C203" s="522"/>
      <c r="D203" s="522"/>
      <c r="E203" s="522"/>
      <c r="F203" s="518"/>
      <c r="G203" s="624"/>
      <c r="H203" s="520"/>
      <c r="I203" s="534"/>
      <c r="J203" s="633"/>
      <c r="K203" s="636"/>
      <c r="L203" s="522"/>
      <c r="M203" s="522"/>
      <c r="N203" s="340">
        <v>45478</v>
      </c>
      <c r="O203" s="518"/>
      <c r="P203" s="333">
        <v>71616</v>
      </c>
      <c r="Q203" s="334">
        <v>45489</v>
      </c>
      <c r="R203" s="335"/>
      <c r="S203" s="333"/>
      <c r="T203" s="333"/>
      <c r="U203" s="520"/>
      <c r="V203" s="618"/>
      <c r="W203" s="532"/>
      <c r="X203" s="2">
        <v>45</v>
      </c>
    </row>
    <row r="204" spans="1:24" s="107" customFormat="1" ht="108" x14ac:dyDescent="0.3">
      <c r="A204" s="308">
        <v>29</v>
      </c>
      <c r="B204" s="309" t="s">
        <v>56</v>
      </c>
      <c r="C204" s="309" t="s">
        <v>146</v>
      </c>
      <c r="D204" s="309" t="s">
        <v>147</v>
      </c>
      <c r="E204" s="309" t="s">
        <v>333</v>
      </c>
      <c r="F204" s="318">
        <v>45489</v>
      </c>
      <c r="G204" s="312" t="s">
        <v>243</v>
      </c>
      <c r="H204" s="310">
        <v>18000</v>
      </c>
      <c r="I204" s="311">
        <f>IF(X204 = 46, H204 + SUM(S204:S204) - SUM(T204:T204) - SUM(P204:P204) - V204,0)</f>
        <v>0</v>
      </c>
      <c r="J204" s="319">
        <v>235002152355</v>
      </c>
      <c r="K204" s="320" t="s">
        <v>238</v>
      </c>
      <c r="L204" s="309" t="s">
        <v>146</v>
      </c>
      <c r="M204" s="309"/>
      <c r="N204" s="318">
        <v>45489</v>
      </c>
      <c r="O204" s="287" t="s">
        <v>194</v>
      </c>
      <c r="P204" s="310">
        <v>18000</v>
      </c>
      <c r="Q204" s="312">
        <v>45489</v>
      </c>
      <c r="R204" s="309"/>
      <c r="S204" s="310"/>
      <c r="T204" s="310"/>
      <c r="U204" s="310"/>
      <c r="V204" s="321"/>
      <c r="W204" s="315"/>
      <c r="X204" s="107">
        <v>46</v>
      </c>
    </row>
    <row r="205" spans="1:24" s="107" customFormat="1" ht="108" x14ac:dyDescent="0.3">
      <c r="A205" s="308">
        <v>30</v>
      </c>
      <c r="B205" s="309" t="s">
        <v>56</v>
      </c>
      <c r="C205" s="309" t="s">
        <v>146</v>
      </c>
      <c r="D205" s="309" t="s">
        <v>147</v>
      </c>
      <c r="E205" s="309" t="s">
        <v>334</v>
      </c>
      <c r="F205" s="318">
        <v>45489</v>
      </c>
      <c r="G205" s="312" t="s">
        <v>243</v>
      </c>
      <c r="H205" s="310">
        <v>85330</v>
      </c>
      <c r="I205" s="311">
        <f>IF(X205 = 47, H205 + SUM(S205:S205) - SUM(T205:T205) - SUM(P205:P205) - V205,0)</f>
        <v>0</v>
      </c>
      <c r="J205" s="319">
        <v>235002152355</v>
      </c>
      <c r="K205" s="320" t="s">
        <v>238</v>
      </c>
      <c r="L205" s="309" t="s">
        <v>146</v>
      </c>
      <c r="M205" s="309"/>
      <c r="N205" s="318">
        <v>45489</v>
      </c>
      <c r="O205" s="287" t="s">
        <v>194</v>
      </c>
      <c r="P205" s="310">
        <v>85330</v>
      </c>
      <c r="Q205" s="312">
        <v>45489</v>
      </c>
      <c r="R205" s="309"/>
      <c r="S205" s="310"/>
      <c r="T205" s="310"/>
      <c r="U205" s="310"/>
      <c r="V205" s="321"/>
      <c r="W205" s="315"/>
      <c r="X205" s="107">
        <v>47</v>
      </c>
    </row>
    <row r="206" spans="1:24" s="107" customFormat="1" ht="108" x14ac:dyDescent="0.3">
      <c r="A206" s="329">
        <v>31</v>
      </c>
      <c r="B206" s="330" t="s">
        <v>56</v>
      </c>
      <c r="C206" s="330" t="s">
        <v>146</v>
      </c>
      <c r="D206" s="330" t="s">
        <v>147</v>
      </c>
      <c r="E206" s="330" t="s">
        <v>346</v>
      </c>
      <c r="F206" s="358">
        <v>45511</v>
      </c>
      <c r="G206" s="341" t="s">
        <v>347</v>
      </c>
      <c r="H206" s="331">
        <v>12000</v>
      </c>
      <c r="I206" s="332">
        <f>IF(X206 = 48, H206 + SUM(S206:S206) - SUM(T206:T206) - SUM(P206:P206) - V206,0)</f>
        <v>0</v>
      </c>
      <c r="J206" s="342">
        <v>235301271520</v>
      </c>
      <c r="K206" s="343" t="s">
        <v>158</v>
      </c>
      <c r="L206" s="330" t="s">
        <v>146</v>
      </c>
      <c r="M206" s="330"/>
      <c r="N206" s="358">
        <v>45511</v>
      </c>
      <c r="O206" s="358" t="s">
        <v>194</v>
      </c>
      <c r="P206" s="331">
        <v>12000</v>
      </c>
      <c r="Q206" s="341">
        <v>45519</v>
      </c>
      <c r="R206" s="330"/>
      <c r="S206" s="331"/>
      <c r="T206" s="331"/>
      <c r="U206" s="331"/>
      <c r="V206" s="344"/>
      <c r="W206" s="337"/>
      <c r="X206" s="107">
        <v>48</v>
      </c>
    </row>
    <row r="207" spans="1:24" s="107" customFormat="1" ht="108" x14ac:dyDescent="0.3">
      <c r="A207" s="329">
        <v>32</v>
      </c>
      <c r="B207" s="330" t="s">
        <v>56</v>
      </c>
      <c r="C207" s="330" t="s">
        <v>146</v>
      </c>
      <c r="D207" s="330" t="s">
        <v>147</v>
      </c>
      <c r="E207" s="330" t="s">
        <v>348</v>
      </c>
      <c r="F207" s="358">
        <v>45520</v>
      </c>
      <c r="G207" s="341" t="s">
        <v>349</v>
      </c>
      <c r="H207" s="331">
        <v>6000</v>
      </c>
      <c r="I207" s="332">
        <f>IF(X207 = 49, H207 + SUM(S207:S207) - SUM(T207:T207) - SUM(P207:P207) - V207,0)</f>
        <v>4500</v>
      </c>
      <c r="J207" s="342">
        <v>231107998282</v>
      </c>
      <c r="K207" s="343" t="s">
        <v>199</v>
      </c>
      <c r="L207" s="330" t="s">
        <v>146</v>
      </c>
      <c r="M207" s="330"/>
      <c r="N207" s="358">
        <v>45565</v>
      </c>
      <c r="O207" s="358" t="s">
        <v>194</v>
      </c>
      <c r="P207" s="331">
        <v>1500</v>
      </c>
      <c r="Q207" s="341">
        <v>45569</v>
      </c>
      <c r="R207" s="330"/>
      <c r="S207" s="331"/>
      <c r="T207" s="331"/>
      <c r="U207" s="331"/>
      <c r="V207" s="344"/>
      <c r="W207" s="337"/>
      <c r="X207" s="107">
        <v>49</v>
      </c>
    </row>
    <row r="208" spans="1:24" s="107" customFormat="1" ht="108" x14ac:dyDescent="0.3">
      <c r="A208" s="363">
        <v>33</v>
      </c>
      <c r="B208" s="360" t="s">
        <v>56</v>
      </c>
      <c r="C208" s="360" t="s">
        <v>146</v>
      </c>
      <c r="D208" s="360" t="s">
        <v>147</v>
      </c>
      <c r="E208" s="360" t="s">
        <v>364</v>
      </c>
      <c r="F208" s="369">
        <v>45527</v>
      </c>
      <c r="G208" s="368" t="s">
        <v>243</v>
      </c>
      <c r="H208" s="361">
        <v>86976</v>
      </c>
      <c r="I208" s="362">
        <f>IF(X208 = 50, H208 + SUM(S208:S208) - SUM(T208:T208) - SUM(P208:P208) - V208,0)</f>
        <v>0</v>
      </c>
      <c r="J208" s="365">
        <v>233907301031</v>
      </c>
      <c r="K208" s="366" t="s">
        <v>365</v>
      </c>
      <c r="L208" s="360" t="s">
        <v>146</v>
      </c>
      <c r="M208" s="360"/>
      <c r="N208" s="369">
        <v>45567</v>
      </c>
      <c r="O208" s="369" t="s">
        <v>194</v>
      </c>
      <c r="P208" s="361">
        <v>86976</v>
      </c>
      <c r="Q208" s="368">
        <v>45572</v>
      </c>
      <c r="R208" s="360"/>
      <c r="S208" s="361"/>
      <c r="T208" s="361"/>
      <c r="U208" s="361"/>
      <c r="V208" s="367"/>
      <c r="W208" s="359"/>
      <c r="X208" s="107">
        <v>50</v>
      </c>
    </row>
    <row r="209" spans="1:24" s="107" customFormat="1" ht="162" customHeight="1" x14ac:dyDescent="0.3">
      <c r="A209" s="497">
        <v>34</v>
      </c>
      <c r="B209" s="506" t="s">
        <v>56</v>
      </c>
      <c r="C209" s="506" t="s">
        <v>146</v>
      </c>
      <c r="D209" s="506" t="s">
        <v>147</v>
      </c>
      <c r="E209" s="506" t="s">
        <v>366</v>
      </c>
      <c r="F209" s="500">
        <v>45534</v>
      </c>
      <c r="G209" s="750" t="s">
        <v>204</v>
      </c>
      <c r="H209" s="503">
        <v>82720</v>
      </c>
      <c r="I209" s="579">
        <f>IF(X209 = 51, H209 + SUM(S209:S211) - SUM(T209:T211) - SUM(P209:P211) - V209,0)</f>
        <v>70870</v>
      </c>
      <c r="J209" s="753">
        <v>235305769122</v>
      </c>
      <c r="K209" s="756" t="s">
        <v>160</v>
      </c>
      <c r="L209" s="506" t="s">
        <v>146</v>
      </c>
      <c r="M209" s="506"/>
      <c r="N209" s="434">
        <v>45565</v>
      </c>
      <c r="O209" s="500" t="s">
        <v>194</v>
      </c>
      <c r="P209" s="425">
        <v>2800</v>
      </c>
      <c r="Q209" s="426">
        <v>45573</v>
      </c>
      <c r="R209" s="427"/>
      <c r="S209" s="425"/>
      <c r="T209" s="425"/>
      <c r="U209" s="503"/>
      <c r="V209" s="747"/>
      <c r="W209" s="512"/>
      <c r="X209" s="107">
        <v>51</v>
      </c>
    </row>
    <row r="210" spans="1:24" s="2" customFormat="1" x14ac:dyDescent="0.3">
      <c r="A210" s="498"/>
      <c r="B210" s="507"/>
      <c r="C210" s="507"/>
      <c r="D210" s="507"/>
      <c r="E210" s="507"/>
      <c r="F210" s="501"/>
      <c r="G210" s="751"/>
      <c r="H210" s="504"/>
      <c r="I210" s="580"/>
      <c r="J210" s="754"/>
      <c r="K210" s="757"/>
      <c r="L210" s="507"/>
      <c r="M210" s="507"/>
      <c r="N210" s="435">
        <v>45565</v>
      </c>
      <c r="O210" s="501"/>
      <c r="P210" s="428">
        <v>3200</v>
      </c>
      <c r="Q210" s="429">
        <v>45573</v>
      </c>
      <c r="R210" s="430"/>
      <c r="S210" s="428"/>
      <c r="T210" s="428"/>
      <c r="U210" s="504"/>
      <c r="V210" s="748"/>
      <c r="W210" s="513"/>
      <c r="X210" s="2">
        <v>51</v>
      </c>
    </row>
    <row r="211" spans="1:24" s="2" customFormat="1" x14ac:dyDescent="0.3">
      <c r="A211" s="499"/>
      <c r="B211" s="508"/>
      <c r="C211" s="508"/>
      <c r="D211" s="508"/>
      <c r="E211" s="508"/>
      <c r="F211" s="502"/>
      <c r="G211" s="752"/>
      <c r="H211" s="505"/>
      <c r="I211" s="581"/>
      <c r="J211" s="755"/>
      <c r="K211" s="758"/>
      <c r="L211" s="508"/>
      <c r="M211" s="508"/>
      <c r="N211" s="436">
        <v>45565</v>
      </c>
      <c r="O211" s="502"/>
      <c r="P211" s="431">
        <v>5850</v>
      </c>
      <c r="Q211" s="426">
        <v>45573</v>
      </c>
      <c r="R211" s="433"/>
      <c r="S211" s="431"/>
      <c r="T211" s="431"/>
      <c r="U211" s="505"/>
      <c r="V211" s="749"/>
      <c r="W211" s="514"/>
      <c r="X211" s="2">
        <v>51</v>
      </c>
    </row>
    <row r="212" spans="1:24" s="107" customFormat="1" ht="90" customHeight="1" x14ac:dyDescent="0.3">
      <c r="A212" s="497">
        <v>35</v>
      </c>
      <c r="B212" s="506" t="s">
        <v>56</v>
      </c>
      <c r="C212" s="506" t="s">
        <v>146</v>
      </c>
      <c r="D212" s="506" t="s">
        <v>147</v>
      </c>
      <c r="E212" s="506" t="s">
        <v>126</v>
      </c>
      <c r="F212" s="500">
        <v>45537</v>
      </c>
      <c r="G212" s="750" t="s">
        <v>371</v>
      </c>
      <c r="H212" s="503">
        <v>480608</v>
      </c>
      <c r="I212" s="579">
        <f>IF(X212 = 52, H212 + SUM(S212:S224) - SUM(T212:T224) - SUM(P212:P224) - V212,0)</f>
        <v>282439.44000000006</v>
      </c>
      <c r="J212" s="753">
        <v>2353020735</v>
      </c>
      <c r="K212" s="756" t="s">
        <v>156</v>
      </c>
      <c r="L212" s="506" t="s">
        <v>146</v>
      </c>
      <c r="M212" s="506"/>
      <c r="N212" s="434">
        <v>45562</v>
      </c>
      <c r="O212" s="500" t="s">
        <v>194</v>
      </c>
      <c r="P212" s="425">
        <v>134552</v>
      </c>
      <c r="Q212" s="426">
        <v>45582</v>
      </c>
      <c r="R212" s="427"/>
      <c r="S212" s="425"/>
      <c r="T212" s="425"/>
      <c r="U212" s="503"/>
      <c r="V212" s="747"/>
      <c r="W212" s="512"/>
      <c r="X212" s="107">
        <v>52</v>
      </c>
    </row>
    <row r="213" spans="1:24" s="2" customFormat="1" x14ac:dyDescent="0.3">
      <c r="A213" s="498"/>
      <c r="B213" s="507"/>
      <c r="C213" s="507"/>
      <c r="D213" s="507"/>
      <c r="E213" s="507"/>
      <c r="F213" s="501"/>
      <c r="G213" s="751"/>
      <c r="H213" s="504"/>
      <c r="I213" s="580"/>
      <c r="J213" s="754"/>
      <c r="K213" s="757"/>
      <c r="L213" s="507"/>
      <c r="M213" s="507"/>
      <c r="N213" s="435">
        <v>45565</v>
      </c>
      <c r="O213" s="501"/>
      <c r="P213" s="428">
        <v>12986.74</v>
      </c>
      <c r="Q213" s="429">
        <v>45582</v>
      </c>
      <c r="R213" s="430"/>
      <c r="S213" s="428"/>
      <c r="T213" s="428"/>
      <c r="U213" s="504"/>
      <c r="V213" s="748"/>
      <c r="W213" s="513"/>
      <c r="X213" s="2">
        <v>52</v>
      </c>
    </row>
    <row r="214" spans="1:24" s="2" customFormat="1" x14ac:dyDescent="0.3">
      <c r="A214" s="498"/>
      <c r="B214" s="507"/>
      <c r="C214" s="507"/>
      <c r="D214" s="507"/>
      <c r="E214" s="507"/>
      <c r="F214" s="501"/>
      <c r="G214" s="751"/>
      <c r="H214" s="504"/>
      <c r="I214" s="580"/>
      <c r="J214" s="754"/>
      <c r="K214" s="757"/>
      <c r="L214" s="507"/>
      <c r="M214" s="507"/>
      <c r="N214" s="435">
        <v>45565</v>
      </c>
      <c r="O214" s="501"/>
      <c r="P214" s="428">
        <v>10625.66</v>
      </c>
      <c r="Q214" s="437">
        <v>45582</v>
      </c>
      <c r="R214" s="430"/>
      <c r="S214" s="428"/>
      <c r="T214" s="428"/>
      <c r="U214" s="504"/>
      <c r="V214" s="748"/>
      <c r="W214" s="513"/>
      <c r="X214" s="2">
        <v>52</v>
      </c>
    </row>
    <row r="215" spans="1:24" s="2" customFormat="1" x14ac:dyDescent="0.3">
      <c r="A215" s="498"/>
      <c r="B215" s="507"/>
      <c r="C215" s="507"/>
      <c r="D215" s="507"/>
      <c r="E215" s="507"/>
      <c r="F215" s="501"/>
      <c r="G215" s="751"/>
      <c r="H215" s="504"/>
      <c r="I215" s="580"/>
      <c r="J215" s="754"/>
      <c r="K215" s="757"/>
      <c r="L215" s="507"/>
      <c r="M215" s="507"/>
      <c r="N215" s="435">
        <v>45565</v>
      </c>
      <c r="O215" s="501"/>
      <c r="P215" s="428">
        <v>7560</v>
      </c>
      <c r="Q215" s="429">
        <v>45582</v>
      </c>
      <c r="R215" s="430"/>
      <c r="S215" s="428"/>
      <c r="T215" s="428"/>
      <c r="U215" s="504"/>
      <c r="V215" s="748"/>
      <c r="W215" s="513"/>
      <c r="X215" s="2">
        <v>52</v>
      </c>
    </row>
    <row r="216" spans="1:24" s="2" customFormat="1" x14ac:dyDescent="0.3">
      <c r="A216" s="498"/>
      <c r="B216" s="507"/>
      <c r="C216" s="507"/>
      <c r="D216" s="507"/>
      <c r="E216" s="507"/>
      <c r="F216" s="501"/>
      <c r="G216" s="751"/>
      <c r="H216" s="504"/>
      <c r="I216" s="580"/>
      <c r="J216" s="754"/>
      <c r="K216" s="757"/>
      <c r="L216" s="507"/>
      <c r="M216" s="507"/>
      <c r="N216" s="435">
        <v>45565</v>
      </c>
      <c r="O216" s="501"/>
      <c r="P216" s="428">
        <v>2234.4</v>
      </c>
      <c r="Q216" s="437">
        <v>45582</v>
      </c>
      <c r="R216" s="430"/>
      <c r="S216" s="428"/>
      <c r="T216" s="428"/>
      <c r="U216" s="504"/>
      <c r="V216" s="748"/>
      <c r="W216" s="513"/>
      <c r="X216" s="2">
        <v>52</v>
      </c>
    </row>
    <row r="217" spans="1:24" s="2" customFormat="1" x14ac:dyDescent="0.3">
      <c r="A217" s="498"/>
      <c r="B217" s="507"/>
      <c r="C217" s="507"/>
      <c r="D217" s="507"/>
      <c r="E217" s="507"/>
      <c r="F217" s="501"/>
      <c r="G217" s="751"/>
      <c r="H217" s="504"/>
      <c r="I217" s="580"/>
      <c r="J217" s="754"/>
      <c r="K217" s="757"/>
      <c r="L217" s="507"/>
      <c r="M217" s="507"/>
      <c r="N217" s="435">
        <v>45565</v>
      </c>
      <c r="O217" s="501"/>
      <c r="P217" s="428">
        <v>1828.56</v>
      </c>
      <c r="Q217" s="429">
        <v>45582</v>
      </c>
      <c r="R217" s="430"/>
      <c r="S217" s="428"/>
      <c r="T217" s="428"/>
      <c r="U217" s="504"/>
      <c r="V217" s="748"/>
      <c r="W217" s="513"/>
      <c r="X217" s="2">
        <v>52</v>
      </c>
    </row>
    <row r="218" spans="1:24" s="2" customFormat="1" x14ac:dyDescent="0.3">
      <c r="A218" s="498"/>
      <c r="B218" s="507"/>
      <c r="C218" s="507"/>
      <c r="D218" s="507"/>
      <c r="E218" s="507"/>
      <c r="F218" s="501"/>
      <c r="G218" s="751"/>
      <c r="H218" s="504"/>
      <c r="I218" s="580"/>
      <c r="J218" s="754"/>
      <c r="K218" s="757"/>
      <c r="L218" s="507"/>
      <c r="M218" s="507"/>
      <c r="N218" s="435">
        <v>45565</v>
      </c>
      <c r="O218" s="501"/>
      <c r="P218" s="428">
        <v>1980</v>
      </c>
      <c r="Q218" s="437">
        <v>45582</v>
      </c>
      <c r="R218" s="430"/>
      <c r="S218" s="428"/>
      <c r="T218" s="428"/>
      <c r="U218" s="504"/>
      <c r="V218" s="748"/>
      <c r="W218" s="513"/>
      <c r="X218" s="2">
        <v>52</v>
      </c>
    </row>
    <row r="219" spans="1:24" s="2" customFormat="1" x14ac:dyDescent="0.3">
      <c r="A219" s="498"/>
      <c r="B219" s="507"/>
      <c r="C219" s="507"/>
      <c r="D219" s="507"/>
      <c r="E219" s="507"/>
      <c r="F219" s="501"/>
      <c r="G219" s="751"/>
      <c r="H219" s="504"/>
      <c r="I219" s="580"/>
      <c r="J219" s="754"/>
      <c r="K219" s="757"/>
      <c r="L219" s="507"/>
      <c r="M219" s="507"/>
      <c r="N219" s="435">
        <v>45565</v>
      </c>
      <c r="O219" s="501"/>
      <c r="P219" s="428">
        <v>5059.8</v>
      </c>
      <c r="Q219" s="429">
        <v>45582</v>
      </c>
      <c r="R219" s="430"/>
      <c r="S219" s="428"/>
      <c r="T219" s="428"/>
      <c r="U219" s="504"/>
      <c r="V219" s="748"/>
      <c r="W219" s="513"/>
      <c r="X219" s="2">
        <v>52</v>
      </c>
    </row>
    <row r="220" spans="1:24" s="2" customFormat="1" x14ac:dyDescent="0.3">
      <c r="A220" s="498"/>
      <c r="B220" s="507"/>
      <c r="C220" s="507"/>
      <c r="D220" s="507"/>
      <c r="E220" s="507"/>
      <c r="F220" s="501"/>
      <c r="G220" s="751"/>
      <c r="H220" s="504"/>
      <c r="I220" s="580"/>
      <c r="J220" s="754"/>
      <c r="K220" s="757"/>
      <c r="L220" s="507"/>
      <c r="M220" s="507"/>
      <c r="N220" s="435">
        <v>45565</v>
      </c>
      <c r="O220" s="501"/>
      <c r="P220" s="428">
        <v>1620</v>
      </c>
      <c r="Q220" s="437">
        <v>45582</v>
      </c>
      <c r="R220" s="430"/>
      <c r="S220" s="428"/>
      <c r="T220" s="428"/>
      <c r="U220" s="504"/>
      <c r="V220" s="748"/>
      <c r="W220" s="513"/>
      <c r="X220" s="2">
        <v>52</v>
      </c>
    </row>
    <row r="221" spans="1:24" s="2" customFormat="1" x14ac:dyDescent="0.3">
      <c r="A221" s="498"/>
      <c r="B221" s="507"/>
      <c r="C221" s="507"/>
      <c r="D221" s="507"/>
      <c r="E221" s="507"/>
      <c r="F221" s="501"/>
      <c r="G221" s="751"/>
      <c r="H221" s="504"/>
      <c r="I221" s="580"/>
      <c r="J221" s="754"/>
      <c r="K221" s="757"/>
      <c r="L221" s="507"/>
      <c r="M221" s="507"/>
      <c r="N221" s="435">
        <v>45565</v>
      </c>
      <c r="O221" s="501"/>
      <c r="P221" s="428">
        <v>923.4</v>
      </c>
      <c r="Q221" s="429">
        <v>45582</v>
      </c>
      <c r="R221" s="430"/>
      <c r="S221" s="428"/>
      <c r="T221" s="428"/>
      <c r="U221" s="504"/>
      <c r="V221" s="748"/>
      <c r="W221" s="513"/>
      <c r="X221" s="2">
        <v>52</v>
      </c>
    </row>
    <row r="222" spans="1:24" s="2" customFormat="1" x14ac:dyDescent="0.3">
      <c r="A222" s="498"/>
      <c r="B222" s="507"/>
      <c r="C222" s="507"/>
      <c r="D222" s="507"/>
      <c r="E222" s="507"/>
      <c r="F222" s="501"/>
      <c r="G222" s="751"/>
      <c r="H222" s="504"/>
      <c r="I222" s="580"/>
      <c r="J222" s="754"/>
      <c r="K222" s="757"/>
      <c r="L222" s="507"/>
      <c r="M222" s="507"/>
      <c r="N222" s="435">
        <v>45565</v>
      </c>
      <c r="O222" s="501"/>
      <c r="P222" s="428">
        <v>450</v>
      </c>
      <c r="Q222" s="437">
        <v>45582</v>
      </c>
      <c r="R222" s="430"/>
      <c r="S222" s="428"/>
      <c r="T222" s="428"/>
      <c r="U222" s="504"/>
      <c r="V222" s="748"/>
      <c r="W222" s="513"/>
      <c r="X222" s="2">
        <v>52</v>
      </c>
    </row>
    <row r="223" spans="1:24" s="2" customFormat="1" x14ac:dyDescent="0.3">
      <c r="A223" s="498"/>
      <c r="B223" s="507"/>
      <c r="C223" s="507"/>
      <c r="D223" s="507"/>
      <c r="E223" s="507"/>
      <c r="F223" s="501"/>
      <c r="G223" s="751"/>
      <c r="H223" s="504"/>
      <c r="I223" s="580"/>
      <c r="J223" s="754"/>
      <c r="K223" s="757"/>
      <c r="L223" s="507"/>
      <c r="M223" s="507"/>
      <c r="N223" s="435">
        <v>45565</v>
      </c>
      <c r="O223" s="501"/>
      <c r="P223" s="428">
        <v>14678.4</v>
      </c>
      <c r="Q223" s="429">
        <v>45582</v>
      </c>
      <c r="R223" s="430"/>
      <c r="S223" s="428"/>
      <c r="T223" s="428"/>
      <c r="U223" s="504"/>
      <c r="V223" s="748"/>
      <c r="W223" s="513"/>
      <c r="X223" s="2">
        <v>52</v>
      </c>
    </row>
    <row r="224" spans="1:24" s="2" customFormat="1" x14ac:dyDescent="0.3">
      <c r="A224" s="499"/>
      <c r="B224" s="508"/>
      <c r="C224" s="508"/>
      <c r="D224" s="508"/>
      <c r="E224" s="508"/>
      <c r="F224" s="502"/>
      <c r="G224" s="752"/>
      <c r="H224" s="505"/>
      <c r="I224" s="581"/>
      <c r="J224" s="755"/>
      <c r="K224" s="758"/>
      <c r="L224" s="508"/>
      <c r="M224" s="508"/>
      <c r="N224" s="435">
        <v>45565</v>
      </c>
      <c r="O224" s="502"/>
      <c r="P224" s="431">
        <v>3669.6</v>
      </c>
      <c r="Q224" s="437">
        <v>45582</v>
      </c>
      <c r="R224" s="433"/>
      <c r="S224" s="431"/>
      <c r="T224" s="431"/>
      <c r="U224" s="505"/>
      <c r="V224" s="749"/>
      <c r="W224" s="514"/>
      <c r="X224" s="2">
        <v>52</v>
      </c>
    </row>
    <row r="225" spans="1:24" s="107" customFormat="1" ht="108" x14ac:dyDescent="0.3">
      <c r="A225" s="363">
        <v>36</v>
      </c>
      <c r="B225" s="360" t="s">
        <v>56</v>
      </c>
      <c r="C225" s="360" t="s">
        <v>146</v>
      </c>
      <c r="D225" s="360" t="s">
        <v>147</v>
      </c>
      <c r="E225" s="360" t="s">
        <v>125</v>
      </c>
      <c r="F225" s="369">
        <v>45537</v>
      </c>
      <c r="G225" s="368" t="s">
        <v>371</v>
      </c>
      <c r="H225" s="361">
        <v>143830.20000000001</v>
      </c>
      <c r="I225" s="362">
        <f>IF(X225 = 53, H225 + SUM(S225:S225) - SUM(T225:T225) - SUM(P225:P225) - V225,0)</f>
        <v>131689.20000000001</v>
      </c>
      <c r="J225" s="365">
        <v>2353020735</v>
      </c>
      <c r="K225" s="366" t="s">
        <v>156</v>
      </c>
      <c r="L225" s="360" t="s">
        <v>146</v>
      </c>
      <c r="M225" s="360"/>
      <c r="N225" s="369">
        <v>45565</v>
      </c>
      <c r="O225" s="369" t="s">
        <v>194</v>
      </c>
      <c r="P225" s="361">
        <v>12141</v>
      </c>
      <c r="Q225" s="368">
        <v>45582</v>
      </c>
      <c r="R225" s="360"/>
      <c r="S225" s="361"/>
      <c r="T225" s="361"/>
      <c r="U225" s="361"/>
      <c r="V225" s="367"/>
      <c r="W225" s="359"/>
      <c r="X225" s="107">
        <v>53</v>
      </c>
    </row>
    <row r="226" spans="1:24" s="107" customFormat="1" ht="108" x14ac:dyDescent="0.3">
      <c r="A226" s="363">
        <v>37</v>
      </c>
      <c r="B226" s="360" t="s">
        <v>56</v>
      </c>
      <c r="C226" s="360" t="s">
        <v>146</v>
      </c>
      <c r="D226" s="360" t="s">
        <v>147</v>
      </c>
      <c r="E226" s="360" t="s">
        <v>372</v>
      </c>
      <c r="F226" s="369">
        <v>45540</v>
      </c>
      <c r="G226" s="368" t="s">
        <v>243</v>
      </c>
      <c r="H226" s="361">
        <v>10200</v>
      </c>
      <c r="I226" s="362">
        <f>IF(X226 = 54, H226 + SUM(S226:S226) - SUM(T226:T226) - SUM(P226:P226) - V226,0)</f>
        <v>0</v>
      </c>
      <c r="J226" s="365">
        <v>233907301031</v>
      </c>
      <c r="K226" s="366" t="s">
        <v>365</v>
      </c>
      <c r="L226" s="360" t="s">
        <v>146</v>
      </c>
      <c r="M226" s="360"/>
      <c r="N226" s="369">
        <v>45567</v>
      </c>
      <c r="O226" s="369" t="s">
        <v>194</v>
      </c>
      <c r="P226" s="361">
        <v>10200</v>
      </c>
      <c r="Q226" s="368">
        <v>45573</v>
      </c>
      <c r="R226" s="360"/>
      <c r="S226" s="361"/>
      <c r="T226" s="361"/>
      <c r="U226" s="361"/>
      <c r="V226" s="367"/>
      <c r="W226" s="359"/>
      <c r="X226" s="107">
        <v>54</v>
      </c>
    </row>
    <row r="227" spans="1:24" s="107" customFormat="1" ht="108" x14ac:dyDescent="0.3">
      <c r="A227" s="363">
        <v>38</v>
      </c>
      <c r="B227" s="360" t="s">
        <v>56</v>
      </c>
      <c r="C227" s="360" t="s">
        <v>146</v>
      </c>
      <c r="D227" s="360" t="s">
        <v>147</v>
      </c>
      <c r="E227" s="360" t="s">
        <v>374</v>
      </c>
      <c r="F227" s="369">
        <v>45548</v>
      </c>
      <c r="G227" s="368" t="s">
        <v>243</v>
      </c>
      <c r="H227" s="361">
        <v>22275.88</v>
      </c>
      <c r="I227" s="362">
        <f>IF(X227 = 55, H227 + SUM(S227:S227) - SUM(T227:T227) - SUM(P227:P227) - V227,0)</f>
        <v>0</v>
      </c>
      <c r="J227" s="365">
        <v>235002152355</v>
      </c>
      <c r="K227" s="366" t="s">
        <v>238</v>
      </c>
      <c r="L227" s="360" t="s">
        <v>146</v>
      </c>
      <c r="M227" s="360"/>
      <c r="N227" s="369">
        <v>45548</v>
      </c>
      <c r="O227" s="369" t="s">
        <v>194</v>
      </c>
      <c r="P227" s="361">
        <v>22275.88</v>
      </c>
      <c r="Q227" s="368">
        <v>45551</v>
      </c>
      <c r="R227" s="360"/>
      <c r="S227" s="361"/>
      <c r="T227" s="361"/>
      <c r="U227" s="361"/>
      <c r="V227" s="367"/>
      <c r="W227" s="359"/>
      <c r="X227" s="107">
        <v>55</v>
      </c>
    </row>
    <row r="228" spans="1:24" s="107" customFormat="1" ht="90" customHeight="1" x14ac:dyDescent="0.3">
      <c r="A228" s="497">
        <v>39</v>
      </c>
      <c r="B228" s="506" t="s">
        <v>56</v>
      </c>
      <c r="C228" s="506" t="s">
        <v>146</v>
      </c>
      <c r="D228" s="506" t="s">
        <v>147</v>
      </c>
      <c r="E228" s="506" t="s">
        <v>377</v>
      </c>
      <c r="F228" s="500">
        <v>45558</v>
      </c>
      <c r="G228" s="750" t="s">
        <v>378</v>
      </c>
      <c r="H228" s="503">
        <v>21772.799999999999</v>
      </c>
      <c r="I228" s="579">
        <f>IF(X228 = 56, H228 + SUM(S228:S229) - SUM(T228:T229) - SUM(P228:P229) - V228,0)</f>
        <v>0</v>
      </c>
      <c r="J228" s="753">
        <v>2304067057</v>
      </c>
      <c r="K228" s="756" t="s">
        <v>379</v>
      </c>
      <c r="L228" s="506" t="s">
        <v>146</v>
      </c>
      <c r="M228" s="506"/>
      <c r="N228" s="434">
        <v>45565</v>
      </c>
      <c r="O228" s="500" t="s">
        <v>194</v>
      </c>
      <c r="P228" s="425">
        <v>12096</v>
      </c>
      <c r="Q228" s="426">
        <v>45569</v>
      </c>
      <c r="R228" s="427"/>
      <c r="S228" s="425"/>
      <c r="T228" s="425"/>
      <c r="U228" s="503"/>
      <c r="V228" s="747"/>
      <c r="W228" s="512"/>
      <c r="X228" s="107">
        <v>56</v>
      </c>
    </row>
    <row r="229" spans="1:24" s="2" customFormat="1" x14ac:dyDescent="0.3">
      <c r="A229" s="499"/>
      <c r="B229" s="508"/>
      <c r="C229" s="508"/>
      <c r="D229" s="508"/>
      <c r="E229" s="508"/>
      <c r="F229" s="502"/>
      <c r="G229" s="752"/>
      <c r="H229" s="505"/>
      <c r="I229" s="581"/>
      <c r="J229" s="755"/>
      <c r="K229" s="758"/>
      <c r="L229" s="508"/>
      <c r="M229" s="508"/>
      <c r="N229" s="436">
        <v>45569</v>
      </c>
      <c r="O229" s="502"/>
      <c r="P229" s="431">
        <v>9676.7999999999993</v>
      </c>
      <c r="Q229" s="432">
        <v>45593</v>
      </c>
      <c r="R229" s="433"/>
      <c r="S229" s="431"/>
      <c r="T229" s="431"/>
      <c r="U229" s="505"/>
      <c r="V229" s="749"/>
      <c r="W229" s="514"/>
      <c r="X229" s="2">
        <v>56</v>
      </c>
    </row>
    <row r="230" spans="1:24" s="107" customFormat="1" ht="108" x14ac:dyDescent="0.3">
      <c r="A230" s="386">
        <v>40</v>
      </c>
      <c r="B230" s="396" t="s">
        <v>56</v>
      </c>
      <c r="C230" s="396" t="s">
        <v>163</v>
      </c>
      <c r="D230" s="396" t="s">
        <v>147</v>
      </c>
      <c r="E230" s="396" t="s">
        <v>383</v>
      </c>
      <c r="F230" s="398">
        <v>45534</v>
      </c>
      <c r="G230" s="387" t="s">
        <v>225</v>
      </c>
      <c r="H230" s="388">
        <v>542500</v>
      </c>
      <c r="I230" s="389">
        <f>IF(X230 = 57, H230 + SUM(S230:S230) - SUM(T230:T230) - SUM(P230:P230) - V230,0)</f>
        <v>477922.2</v>
      </c>
      <c r="J230" s="390">
        <v>2310195709</v>
      </c>
      <c r="K230" s="391" t="s">
        <v>226</v>
      </c>
      <c r="L230" s="396" t="s">
        <v>146</v>
      </c>
      <c r="M230" s="396"/>
      <c r="N230" s="398">
        <v>45565</v>
      </c>
      <c r="O230" s="398" t="s">
        <v>194</v>
      </c>
      <c r="P230" s="388">
        <v>64577.8</v>
      </c>
      <c r="Q230" s="387">
        <v>45575</v>
      </c>
      <c r="R230" s="396"/>
      <c r="S230" s="388"/>
      <c r="T230" s="388"/>
      <c r="U230" s="388"/>
      <c r="V230" s="392"/>
      <c r="W230" s="393"/>
      <c r="X230" s="107">
        <v>57</v>
      </c>
    </row>
    <row r="231" spans="1:24" s="107" customFormat="1" ht="108" x14ac:dyDescent="0.3">
      <c r="A231" s="386">
        <v>41</v>
      </c>
      <c r="B231" s="396" t="s">
        <v>56</v>
      </c>
      <c r="C231" s="396" t="s">
        <v>146</v>
      </c>
      <c r="D231" s="396" t="s">
        <v>147</v>
      </c>
      <c r="E231" s="396" t="s">
        <v>385</v>
      </c>
      <c r="F231" s="398">
        <v>45572</v>
      </c>
      <c r="G231" s="387" t="s">
        <v>387</v>
      </c>
      <c r="H231" s="388">
        <v>5832</v>
      </c>
      <c r="I231" s="389">
        <f>IF(X231 = 58, H231 + SUM(S231:S231) - SUM(T231:T231) - SUM(P231:P231) - V231,0)</f>
        <v>5832</v>
      </c>
      <c r="J231" s="390">
        <v>2353006498</v>
      </c>
      <c r="K231" s="391" t="s">
        <v>388</v>
      </c>
      <c r="L231" s="396" t="s">
        <v>146</v>
      </c>
      <c r="M231" s="396"/>
      <c r="N231" s="398"/>
      <c r="O231" s="398" t="s">
        <v>165</v>
      </c>
      <c r="P231" s="388"/>
      <c r="Q231" s="387"/>
      <c r="R231" s="396"/>
      <c r="S231" s="388"/>
      <c r="T231" s="388"/>
      <c r="U231" s="388"/>
      <c r="V231" s="392"/>
      <c r="W231" s="393"/>
      <c r="X231" s="107">
        <v>58</v>
      </c>
    </row>
    <row r="232" spans="1:24" s="107" customFormat="1" ht="108" x14ac:dyDescent="0.3">
      <c r="A232" s="386">
        <v>42</v>
      </c>
      <c r="B232" s="396" t="s">
        <v>56</v>
      </c>
      <c r="C232" s="396" t="s">
        <v>146</v>
      </c>
      <c r="D232" s="396" t="s">
        <v>147</v>
      </c>
      <c r="E232" s="396" t="s">
        <v>386</v>
      </c>
      <c r="F232" s="398">
        <v>45572</v>
      </c>
      <c r="G232" s="387" t="s">
        <v>387</v>
      </c>
      <c r="H232" s="388">
        <v>140727</v>
      </c>
      <c r="I232" s="389">
        <f>IF(X232 = 59, H232 + SUM(S232:S232) - SUM(T232:T232) - SUM(P232:P232) - V232,0)</f>
        <v>140727</v>
      </c>
      <c r="J232" s="390">
        <v>2353006498</v>
      </c>
      <c r="K232" s="391" t="s">
        <v>388</v>
      </c>
      <c r="L232" s="396" t="s">
        <v>146</v>
      </c>
      <c r="M232" s="396"/>
      <c r="N232" s="398"/>
      <c r="O232" s="398" t="s">
        <v>165</v>
      </c>
      <c r="P232" s="388"/>
      <c r="Q232" s="387"/>
      <c r="R232" s="396"/>
      <c r="S232" s="388"/>
      <c r="T232" s="388"/>
      <c r="U232" s="388"/>
      <c r="V232" s="392"/>
      <c r="W232" s="393"/>
      <c r="X232" s="107">
        <v>59</v>
      </c>
    </row>
    <row r="233" spans="1:24" s="107" customFormat="1" ht="108" x14ac:dyDescent="0.3">
      <c r="A233" s="386">
        <v>43</v>
      </c>
      <c r="B233" s="396" t="s">
        <v>56</v>
      </c>
      <c r="C233" s="396" t="s">
        <v>146</v>
      </c>
      <c r="D233" s="396" t="s">
        <v>147</v>
      </c>
      <c r="E233" s="396" t="s">
        <v>389</v>
      </c>
      <c r="F233" s="398">
        <v>45579</v>
      </c>
      <c r="G233" s="387" t="s">
        <v>181</v>
      </c>
      <c r="H233" s="388">
        <v>7414</v>
      </c>
      <c r="I233" s="389">
        <f>IF(X233 = 60, H233 + SUM(S233:S233) - SUM(T233:T233) - SUM(P233:P233) - V233,0)</f>
        <v>0</v>
      </c>
      <c r="J233" s="390">
        <v>235002152355</v>
      </c>
      <c r="K233" s="391" t="s">
        <v>238</v>
      </c>
      <c r="L233" s="396" t="s">
        <v>146</v>
      </c>
      <c r="M233" s="396"/>
      <c r="N233" s="398">
        <v>45579</v>
      </c>
      <c r="O233" s="398" t="s">
        <v>194</v>
      </c>
      <c r="P233" s="388">
        <v>7414</v>
      </c>
      <c r="Q233" s="387">
        <v>45580</v>
      </c>
      <c r="R233" s="396"/>
      <c r="S233" s="388"/>
      <c r="T233" s="388"/>
      <c r="U233" s="388"/>
      <c r="V233" s="392"/>
      <c r="W233" s="393"/>
      <c r="X233" s="107">
        <v>60</v>
      </c>
    </row>
    <row r="234" spans="1:24" s="107" customFormat="1" ht="108" x14ac:dyDescent="0.3">
      <c r="A234" s="386">
        <v>44</v>
      </c>
      <c r="B234" s="397" t="s">
        <v>56</v>
      </c>
      <c r="C234" s="397" t="s">
        <v>146</v>
      </c>
      <c r="D234" s="397" t="s">
        <v>147</v>
      </c>
      <c r="E234" s="397" t="s">
        <v>244</v>
      </c>
      <c r="F234" s="400">
        <v>45567</v>
      </c>
      <c r="G234" s="387" t="s">
        <v>207</v>
      </c>
      <c r="H234" s="388">
        <v>166540</v>
      </c>
      <c r="I234" s="389">
        <f>IF(X234 = 61, H234 + SUM(S234:S234) - SUM(T234:T234) - SUM(P234:P234) - V234,0)</f>
        <v>0</v>
      </c>
      <c r="J234" s="390">
        <v>235303483777</v>
      </c>
      <c r="K234" s="391" t="s">
        <v>260</v>
      </c>
      <c r="L234" s="397" t="s">
        <v>146</v>
      </c>
      <c r="M234" s="397"/>
      <c r="N234" s="400">
        <v>45567</v>
      </c>
      <c r="O234" s="400" t="s">
        <v>194</v>
      </c>
      <c r="P234" s="388">
        <v>166540</v>
      </c>
      <c r="Q234" s="387">
        <v>45573</v>
      </c>
      <c r="R234" s="397"/>
      <c r="S234" s="388"/>
      <c r="T234" s="388"/>
      <c r="U234" s="388"/>
      <c r="V234" s="392"/>
      <c r="W234" s="393"/>
      <c r="X234" s="107">
        <v>61</v>
      </c>
    </row>
    <row r="235" spans="1:24" x14ac:dyDescent="0.3">
      <c r="B235" s="109"/>
      <c r="X235" s="8">
        <v>62</v>
      </c>
    </row>
    <row r="236" spans="1:24" x14ac:dyDescent="0.3">
      <c r="B236" s="109"/>
    </row>
    <row r="237" spans="1:24" x14ac:dyDescent="0.3">
      <c r="B237" s="109"/>
    </row>
    <row r="238" spans="1:24" x14ac:dyDescent="0.3">
      <c r="B238" s="109"/>
      <c r="E238" s="45"/>
    </row>
  </sheetData>
  <sheetProtection password="EB34" sheet="1" objects="1" scenarios="1" formatCells="0" formatColumns="0" formatRows="0"/>
  <mergeCells count="377">
    <mergeCell ref="A228:A229"/>
    <mergeCell ref="O228:O229"/>
    <mergeCell ref="U228:U229"/>
    <mergeCell ref="B228:B229"/>
    <mergeCell ref="V228:V229"/>
    <mergeCell ref="C228:C229"/>
    <mergeCell ref="W228:W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L228:L229"/>
    <mergeCell ref="M228:M229"/>
    <mergeCell ref="O212:O224"/>
    <mergeCell ref="U212:U224"/>
    <mergeCell ref="V212:V224"/>
    <mergeCell ref="W212:W224"/>
    <mergeCell ref="D212:D224"/>
    <mergeCell ref="E212:E224"/>
    <mergeCell ref="F212:F224"/>
    <mergeCell ref="G212:G224"/>
    <mergeCell ref="H212:H224"/>
    <mergeCell ref="I212:I224"/>
    <mergeCell ref="J212:J224"/>
    <mergeCell ref="K212:K224"/>
    <mergeCell ref="L212:L224"/>
    <mergeCell ref="A212:A224"/>
    <mergeCell ref="B212:B224"/>
    <mergeCell ref="C212:C224"/>
    <mergeCell ref="M212:M224"/>
    <mergeCell ref="M209:M211"/>
    <mergeCell ref="D209:D211"/>
    <mergeCell ref="E209:E211"/>
    <mergeCell ref="F209:F211"/>
    <mergeCell ref="G209:G211"/>
    <mergeCell ref="H209:H211"/>
    <mergeCell ref="I209:I211"/>
    <mergeCell ref="J209:J211"/>
    <mergeCell ref="K209:K211"/>
    <mergeCell ref="L209:L211"/>
    <mergeCell ref="A209:A211"/>
    <mergeCell ref="O209:O211"/>
    <mergeCell ref="U209:U211"/>
    <mergeCell ref="B209:B211"/>
    <mergeCell ref="V209:V211"/>
    <mergeCell ref="C209:C211"/>
    <mergeCell ref="W209:W211"/>
    <mergeCell ref="A130:A132"/>
    <mergeCell ref="O130:O132"/>
    <mergeCell ref="U130:U132"/>
    <mergeCell ref="B130:B132"/>
    <mergeCell ref="V130:V132"/>
    <mergeCell ref="C130:C132"/>
    <mergeCell ref="W130:W132"/>
    <mergeCell ref="D130:D132"/>
    <mergeCell ref="E130:E132"/>
    <mergeCell ref="F130:F132"/>
    <mergeCell ref="G130:G132"/>
    <mergeCell ref="H130:H132"/>
    <mergeCell ref="I130:I132"/>
    <mergeCell ref="J130:J132"/>
    <mergeCell ref="K130:K132"/>
    <mergeCell ref="L130:L132"/>
    <mergeCell ref="M130:M132"/>
    <mergeCell ref="W155:W158"/>
    <mergeCell ref="A47:A55"/>
    <mergeCell ref="O47:O55"/>
    <mergeCell ref="U47:U55"/>
    <mergeCell ref="B47:B55"/>
    <mergeCell ref="V47:V55"/>
    <mergeCell ref="C47:C55"/>
    <mergeCell ref="W47:W55"/>
    <mergeCell ref="D47:D55"/>
    <mergeCell ref="E47:E55"/>
    <mergeCell ref="F47:F55"/>
    <mergeCell ref="G47:G55"/>
    <mergeCell ref="H47:H55"/>
    <mergeCell ref="I47:I55"/>
    <mergeCell ref="J47:J55"/>
    <mergeCell ref="K47:K55"/>
    <mergeCell ref="L47:L55"/>
    <mergeCell ref="M47:M55"/>
    <mergeCell ref="A11:A20"/>
    <mergeCell ref="O11:O20"/>
    <mergeCell ref="U11:U20"/>
    <mergeCell ref="B11:B20"/>
    <mergeCell ref="V11:V20"/>
    <mergeCell ref="C11:C20"/>
    <mergeCell ref="W11:W20"/>
    <mergeCell ref="D11:D20"/>
    <mergeCell ref="E11:E20"/>
    <mergeCell ref="F11:F20"/>
    <mergeCell ref="G11:G20"/>
    <mergeCell ref="H11:H20"/>
    <mergeCell ref="I11:I20"/>
    <mergeCell ref="J11:J20"/>
    <mergeCell ref="K11:K20"/>
    <mergeCell ref="L11:L20"/>
    <mergeCell ref="M11:M20"/>
    <mergeCell ref="A71:A79"/>
    <mergeCell ref="O71:O79"/>
    <mergeCell ref="U71:U79"/>
    <mergeCell ref="B71:B79"/>
    <mergeCell ref="V71:V79"/>
    <mergeCell ref="C71:C79"/>
    <mergeCell ref="W71:W79"/>
    <mergeCell ref="D71:D79"/>
    <mergeCell ref="E71:E79"/>
    <mergeCell ref="F71:F79"/>
    <mergeCell ref="G71:G79"/>
    <mergeCell ref="H71:H79"/>
    <mergeCell ref="I71:I79"/>
    <mergeCell ref="J71:J79"/>
    <mergeCell ref="K71:K79"/>
    <mergeCell ref="L71:L79"/>
    <mergeCell ref="M71:M79"/>
    <mergeCell ref="A61:A69"/>
    <mergeCell ref="O61:O69"/>
    <mergeCell ref="U61:U69"/>
    <mergeCell ref="B61:B69"/>
    <mergeCell ref="V61:V69"/>
    <mergeCell ref="C61:C69"/>
    <mergeCell ref="W61:W69"/>
    <mergeCell ref="D61:D69"/>
    <mergeCell ref="E61:E69"/>
    <mergeCell ref="F61:F69"/>
    <mergeCell ref="G61:G69"/>
    <mergeCell ref="H61:H69"/>
    <mergeCell ref="I61:I69"/>
    <mergeCell ref="J61:J69"/>
    <mergeCell ref="K61:K69"/>
    <mergeCell ref="L61:L69"/>
    <mergeCell ref="M61:M69"/>
    <mergeCell ref="A124:A129"/>
    <mergeCell ref="B124:B129"/>
    <mergeCell ref="L124:L129"/>
    <mergeCell ref="M124:M129"/>
    <mergeCell ref="B105:B110"/>
    <mergeCell ref="V105:V110"/>
    <mergeCell ref="A117:A122"/>
    <mergeCell ref="O117:O122"/>
    <mergeCell ref="W56:W60"/>
    <mergeCell ref="B56:B60"/>
    <mergeCell ref="C56:C60"/>
    <mergeCell ref="D56:D60"/>
    <mergeCell ref="E56:E60"/>
    <mergeCell ref="B117:B122"/>
    <mergeCell ref="V117:V122"/>
    <mergeCell ref="C117:C122"/>
    <mergeCell ref="A111:A116"/>
    <mergeCell ref="O111:O116"/>
    <mergeCell ref="A105:A110"/>
    <mergeCell ref="L117:L122"/>
    <mergeCell ref="H111:H116"/>
    <mergeCell ref="I111:I116"/>
    <mergeCell ref="J111:J116"/>
    <mergeCell ref="K111:K116"/>
    <mergeCell ref="W9:W10"/>
    <mergeCell ref="D9:D10"/>
    <mergeCell ref="E9:E10"/>
    <mergeCell ref="F9:F10"/>
    <mergeCell ref="G9:G10"/>
    <mergeCell ref="H9:H10"/>
    <mergeCell ref="A9:A10"/>
    <mergeCell ref="O9:O10"/>
    <mergeCell ref="U9:U10"/>
    <mergeCell ref="B9:B10"/>
    <mergeCell ref="C9:C10"/>
    <mergeCell ref="V9:V10"/>
    <mergeCell ref="V56:V60"/>
    <mergeCell ref="I9:I10"/>
    <mergeCell ref="J9:J10"/>
    <mergeCell ref="K9:K10"/>
    <mergeCell ref="L9:L10"/>
    <mergeCell ref="M9:M10"/>
    <mergeCell ref="F56:F60"/>
    <mergeCell ref="G56:G60"/>
    <mergeCell ref="H56:H60"/>
    <mergeCell ref="I56:I60"/>
    <mergeCell ref="J56:J60"/>
    <mergeCell ref="C105:C110"/>
    <mergeCell ref="D117:D122"/>
    <mergeCell ref="E117:E122"/>
    <mergeCell ref="F117:F122"/>
    <mergeCell ref="G117:G122"/>
    <mergeCell ref="D105:D110"/>
    <mergeCell ref="B111:B116"/>
    <mergeCell ref="C111:C116"/>
    <mergeCell ref="S2:U2"/>
    <mergeCell ref="F2:G2"/>
    <mergeCell ref="N2:O2"/>
    <mergeCell ref="U56:U60"/>
    <mergeCell ref="K56:K60"/>
    <mergeCell ref="L56:L60"/>
    <mergeCell ref="M56:M60"/>
    <mergeCell ref="D80:D104"/>
    <mergeCell ref="E80:E104"/>
    <mergeCell ref="F80:F104"/>
    <mergeCell ref="G80:G104"/>
    <mergeCell ref="D111:D116"/>
    <mergeCell ref="E111:E116"/>
    <mergeCell ref="F111:F116"/>
    <mergeCell ref="G111:G116"/>
    <mergeCell ref="K80:K104"/>
    <mergeCell ref="G155:G158"/>
    <mergeCell ref="H155:H158"/>
    <mergeCell ref="I155:I158"/>
    <mergeCell ref="J155:J158"/>
    <mergeCell ref="K155:K158"/>
    <mergeCell ref="L155:L158"/>
    <mergeCell ref="M155:M158"/>
    <mergeCell ref="W117:W122"/>
    <mergeCell ref="M117:M122"/>
    <mergeCell ref="H117:H122"/>
    <mergeCell ref="I117:I122"/>
    <mergeCell ref="J117:J122"/>
    <mergeCell ref="K117:K122"/>
    <mergeCell ref="K124:K129"/>
    <mergeCell ref="V155:V158"/>
    <mergeCell ref="W133:W150"/>
    <mergeCell ref="M133:M150"/>
    <mergeCell ref="U117:U122"/>
    <mergeCell ref="U133:U150"/>
    <mergeCell ref="V133:V150"/>
    <mergeCell ref="I133:I150"/>
    <mergeCell ref="J133:J150"/>
    <mergeCell ref="K133:K150"/>
    <mergeCell ref="L133:L150"/>
    <mergeCell ref="A80:A104"/>
    <mergeCell ref="O80:O104"/>
    <mergeCell ref="U80:U104"/>
    <mergeCell ref="B80:B104"/>
    <mergeCell ref="V80:V104"/>
    <mergeCell ref="A179:A197"/>
    <mergeCell ref="O179:O197"/>
    <mergeCell ref="U179:U197"/>
    <mergeCell ref="B179:B197"/>
    <mergeCell ref="M159:M162"/>
    <mergeCell ref="A155:A158"/>
    <mergeCell ref="O155:O158"/>
    <mergeCell ref="U155:U158"/>
    <mergeCell ref="B155:B158"/>
    <mergeCell ref="V179:V197"/>
    <mergeCell ref="C179:C197"/>
    <mergeCell ref="A159:A162"/>
    <mergeCell ref="O159:O162"/>
    <mergeCell ref="U159:U162"/>
    <mergeCell ref="B159:B162"/>
    <mergeCell ref="V159:V162"/>
    <mergeCell ref="C159:C162"/>
    <mergeCell ref="G159:G162"/>
    <mergeCell ref="C80:C104"/>
    <mergeCell ref="H159:H162"/>
    <mergeCell ref="K159:K162"/>
    <mergeCell ref="L159:L162"/>
    <mergeCell ref="W179:W197"/>
    <mergeCell ref="D179:D197"/>
    <mergeCell ref="E179:E197"/>
    <mergeCell ref="F179:F197"/>
    <mergeCell ref="G179:G197"/>
    <mergeCell ref="H179:H197"/>
    <mergeCell ref="I179:I197"/>
    <mergeCell ref="J179:J197"/>
    <mergeCell ref="K179:K197"/>
    <mergeCell ref="L179:L197"/>
    <mergeCell ref="M179:M197"/>
    <mergeCell ref="I159:I162"/>
    <mergeCell ref="W159:W162"/>
    <mergeCell ref="D159:D162"/>
    <mergeCell ref="E159:E162"/>
    <mergeCell ref="F159:F162"/>
    <mergeCell ref="J159:J162"/>
    <mergeCell ref="A163:A178"/>
    <mergeCell ref="O163:O178"/>
    <mergeCell ref="U163:U178"/>
    <mergeCell ref="B163:B178"/>
    <mergeCell ref="V163:V178"/>
    <mergeCell ref="C163:C178"/>
    <mergeCell ref="W163:W178"/>
    <mergeCell ref="D163:D178"/>
    <mergeCell ref="E163:E178"/>
    <mergeCell ref="F163:F178"/>
    <mergeCell ref="G163:G178"/>
    <mergeCell ref="H163:H178"/>
    <mergeCell ref="I163:I178"/>
    <mergeCell ref="J163:J178"/>
    <mergeCell ref="K163:K178"/>
    <mergeCell ref="L163:L178"/>
    <mergeCell ref="M163:M178"/>
    <mergeCell ref="C124:C129"/>
    <mergeCell ref="W124:W129"/>
    <mergeCell ref="D124:D129"/>
    <mergeCell ref="E124:E129"/>
    <mergeCell ref="F124:F129"/>
    <mergeCell ref="G124:G129"/>
    <mergeCell ref="H124:H129"/>
    <mergeCell ref="I124:I129"/>
    <mergeCell ref="J124:J129"/>
    <mergeCell ref="W80:W104"/>
    <mergeCell ref="W105:W110"/>
    <mergeCell ref="E105:E110"/>
    <mergeCell ref="F105:F110"/>
    <mergeCell ref="G105:G110"/>
    <mergeCell ref="O124:O129"/>
    <mergeCell ref="U124:U129"/>
    <mergeCell ref="V124:V129"/>
    <mergeCell ref="H105:H110"/>
    <mergeCell ref="I105:I110"/>
    <mergeCell ref="J105:J110"/>
    <mergeCell ref="K105:K110"/>
    <mergeCell ref="L105:L110"/>
    <mergeCell ref="M105:M110"/>
    <mergeCell ref="O105:O110"/>
    <mergeCell ref="U105:U110"/>
    <mergeCell ref="L80:L104"/>
    <mergeCell ref="M80:M104"/>
    <mergeCell ref="H80:H104"/>
    <mergeCell ref="W111:W116"/>
    <mergeCell ref="V111:V116"/>
    <mergeCell ref="U111:U116"/>
    <mergeCell ref="L111:L116"/>
    <mergeCell ref="M111:M116"/>
    <mergeCell ref="A56:A60"/>
    <mergeCell ref="O56:O60"/>
    <mergeCell ref="A201:A203"/>
    <mergeCell ref="B201:B203"/>
    <mergeCell ref="J201:J203"/>
    <mergeCell ref="K201:K203"/>
    <mergeCell ref="L201:L203"/>
    <mergeCell ref="M201:M203"/>
    <mergeCell ref="C155:C158"/>
    <mergeCell ref="D155:D158"/>
    <mergeCell ref="E155:E158"/>
    <mergeCell ref="F155:F158"/>
    <mergeCell ref="I80:I104"/>
    <mergeCell ref="J80:J104"/>
    <mergeCell ref="O201:O203"/>
    <mergeCell ref="A133:A150"/>
    <mergeCell ref="O133:O150"/>
    <mergeCell ref="B133:B150"/>
    <mergeCell ref="C133:C150"/>
    <mergeCell ref="D133:D150"/>
    <mergeCell ref="E133:E150"/>
    <mergeCell ref="F133:F150"/>
    <mergeCell ref="G133:G150"/>
    <mergeCell ref="H133:H150"/>
    <mergeCell ref="U201:U203"/>
    <mergeCell ref="V201:V203"/>
    <mergeCell ref="C201:C203"/>
    <mergeCell ref="W201:W203"/>
    <mergeCell ref="D201:D203"/>
    <mergeCell ref="E201:E203"/>
    <mergeCell ref="F201:F203"/>
    <mergeCell ref="G201:G203"/>
    <mergeCell ref="H201:H203"/>
    <mergeCell ref="I201:I203"/>
    <mergeCell ref="A21:A46"/>
    <mergeCell ref="O21:O46"/>
    <mergeCell ref="U21:U46"/>
    <mergeCell ref="B21:B46"/>
    <mergeCell ref="V21:V46"/>
    <mergeCell ref="C21:C46"/>
    <mergeCell ref="W21:W46"/>
    <mergeCell ref="D21:D46"/>
    <mergeCell ref="E21:E46"/>
    <mergeCell ref="F21:F46"/>
    <mergeCell ref="G21:G46"/>
    <mergeCell ref="H21:H46"/>
    <mergeCell ref="I21:I46"/>
    <mergeCell ref="J21:J46"/>
    <mergeCell ref="K21:K46"/>
    <mergeCell ref="L21:L46"/>
    <mergeCell ref="M21:M4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5"/>
  <sheetViews>
    <sheetView showGridLines="0" topLeftCell="F1" zoomScale="70" zoomScaleNormal="70" workbookViewId="0">
      <pane ySplit="8" topLeftCell="A9" activePane="bottomLeft" state="frozen"/>
      <selection pane="bottomLeft" activeCell="O9" sqref="O9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709" t="s">
        <v>24</v>
      </c>
      <c r="F2" s="710"/>
      <c r="G2" s="98">
        <f>SUM(G9:G9999)</f>
        <v>2306536.8499999996</v>
      </c>
      <c r="L2" s="799" t="s">
        <v>137</v>
      </c>
      <c r="M2" s="800"/>
      <c r="N2" s="87">
        <f>SUM(N9:N9999)</f>
        <v>1740634.91</v>
      </c>
      <c r="P2" s="86"/>
      <c r="Q2" s="565" t="s">
        <v>45</v>
      </c>
      <c r="R2" s="566"/>
      <c r="S2" s="567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7" customFormat="1" ht="37.5" customHeight="1" x14ac:dyDescent="0.3">
      <c r="A9" s="796">
        <v>1</v>
      </c>
      <c r="B9" s="778"/>
      <c r="C9" s="778" t="s">
        <v>171</v>
      </c>
      <c r="D9" s="778" t="s">
        <v>152</v>
      </c>
      <c r="E9" s="781">
        <v>45289</v>
      </c>
      <c r="F9" s="784" t="s">
        <v>153</v>
      </c>
      <c r="G9" s="787">
        <v>1201103.3999999999</v>
      </c>
      <c r="H9" s="790">
        <f>IF(V9 = 1, G9 + SUM(Q9:Q12) - SUM(R9:R12) - SUM(N9:N12) - T9,0)</f>
        <v>565901.93999999994</v>
      </c>
      <c r="I9" s="793">
        <v>2312054894</v>
      </c>
      <c r="J9" s="778" t="s">
        <v>154</v>
      </c>
      <c r="K9" s="778" t="s">
        <v>155</v>
      </c>
      <c r="L9" s="275">
        <v>45322</v>
      </c>
      <c r="M9" s="778" t="s">
        <v>151</v>
      </c>
      <c r="N9" s="269">
        <v>204433.07</v>
      </c>
      <c r="O9" s="275">
        <v>45337</v>
      </c>
      <c r="P9" s="270"/>
      <c r="Q9" s="269"/>
      <c r="R9" s="269"/>
      <c r="S9" s="784"/>
      <c r="T9" s="787"/>
      <c r="U9" s="775"/>
      <c r="V9" s="107">
        <v>1</v>
      </c>
    </row>
    <row r="10" spans="1:22" s="2" customFormat="1" x14ac:dyDescent="0.3">
      <c r="A10" s="797"/>
      <c r="B10" s="779"/>
      <c r="C10" s="779"/>
      <c r="D10" s="779"/>
      <c r="E10" s="782"/>
      <c r="F10" s="785"/>
      <c r="G10" s="788"/>
      <c r="H10" s="791"/>
      <c r="I10" s="794"/>
      <c r="J10" s="779"/>
      <c r="K10" s="779"/>
      <c r="L10" s="276">
        <v>45351</v>
      </c>
      <c r="M10" s="779"/>
      <c r="N10" s="271">
        <v>219406.46</v>
      </c>
      <c r="O10" s="276">
        <v>45376</v>
      </c>
      <c r="P10" s="272"/>
      <c r="Q10" s="271"/>
      <c r="R10" s="271"/>
      <c r="S10" s="785"/>
      <c r="T10" s="788"/>
      <c r="U10" s="776"/>
      <c r="V10" s="2">
        <v>1</v>
      </c>
    </row>
    <row r="11" spans="1:22" s="2" customFormat="1" x14ac:dyDescent="0.3">
      <c r="A11" s="797"/>
      <c r="B11" s="779"/>
      <c r="C11" s="779"/>
      <c r="D11" s="779"/>
      <c r="E11" s="782"/>
      <c r="F11" s="785"/>
      <c r="G11" s="788"/>
      <c r="H11" s="791"/>
      <c r="I11" s="794"/>
      <c r="J11" s="779"/>
      <c r="K11" s="779"/>
      <c r="L11" s="276">
        <v>45382</v>
      </c>
      <c r="M11" s="779"/>
      <c r="N11" s="271">
        <v>170117.08</v>
      </c>
      <c r="O11" s="276">
        <v>45406</v>
      </c>
      <c r="P11" s="272"/>
      <c r="Q11" s="271"/>
      <c r="R11" s="271"/>
      <c r="S11" s="785"/>
      <c r="T11" s="788"/>
      <c r="U11" s="776"/>
      <c r="V11" s="2">
        <v>1</v>
      </c>
    </row>
    <row r="12" spans="1:22" s="2" customFormat="1" x14ac:dyDescent="0.3">
      <c r="A12" s="798"/>
      <c r="B12" s="780"/>
      <c r="C12" s="780"/>
      <c r="D12" s="780"/>
      <c r="E12" s="783"/>
      <c r="F12" s="786"/>
      <c r="G12" s="789"/>
      <c r="H12" s="792"/>
      <c r="I12" s="795"/>
      <c r="J12" s="780"/>
      <c r="K12" s="780"/>
      <c r="L12" s="277">
        <v>45412</v>
      </c>
      <c r="M12" s="780"/>
      <c r="N12" s="273">
        <v>41244.85</v>
      </c>
      <c r="O12" s="277">
        <v>45436</v>
      </c>
      <c r="P12" s="274"/>
      <c r="Q12" s="273"/>
      <c r="R12" s="273"/>
      <c r="S12" s="786"/>
      <c r="T12" s="789"/>
      <c r="U12" s="777"/>
      <c r="V12" s="2">
        <v>1</v>
      </c>
    </row>
    <row r="13" spans="1:22" s="107" customFormat="1" ht="108" customHeight="1" x14ac:dyDescent="0.3">
      <c r="A13" s="773">
        <v>2</v>
      </c>
      <c r="B13" s="761"/>
      <c r="C13" s="761" t="s">
        <v>147</v>
      </c>
      <c r="D13" s="761" t="s">
        <v>239</v>
      </c>
      <c r="E13" s="763">
        <v>45366</v>
      </c>
      <c r="F13" s="765" t="s">
        <v>240</v>
      </c>
      <c r="G13" s="767">
        <v>1105433.45</v>
      </c>
      <c r="H13" s="769">
        <f>IF(V13 = 2, G13 + SUM(Q13:Q14) - SUM(R13:R14) - SUM(N13:N14) - T13,0)</f>
        <v>0</v>
      </c>
      <c r="I13" s="771">
        <v>7715995942</v>
      </c>
      <c r="J13" s="761" t="s">
        <v>241</v>
      </c>
      <c r="K13" s="761" t="s">
        <v>242</v>
      </c>
      <c r="L13" s="304">
        <v>45397</v>
      </c>
      <c r="M13" s="761" t="s">
        <v>194</v>
      </c>
      <c r="N13" s="300">
        <v>1032715.2</v>
      </c>
      <c r="O13" s="304">
        <v>45429</v>
      </c>
      <c r="P13" s="301"/>
      <c r="Q13" s="300"/>
      <c r="R13" s="300"/>
      <c r="S13" s="765"/>
      <c r="T13" s="767"/>
      <c r="U13" s="759"/>
      <c r="V13" s="107">
        <v>2</v>
      </c>
    </row>
    <row r="14" spans="1:22" s="2" customFormat="1" x14ac:dyDescent="0.3">
      <c r="A14" s="774"/>
      <c r="B14" s="762"/>
      <c r="C14" s="762"/>
      <c r="D14" s="762"/>
      <c r="E14" s="764"/>
      <c r="F14" s="766"/>
      <c r="G14" s="768"/>
      <c r="H14" s="770"/>
      <c r="I14" s="772"/>
      <c r="J14" s="762"/>
      <c r="K14" s="762"/>
      <c r="L14" s="305">
        <v>45444</v>
      </c>
      <c r="M14" s="762"/>
      <c r="N14" s="302">
        <v>72718.25</v>
      </c>
      <c r="O14" s="305">
        <v>45467</v>
      </c>
      <c r="P14" s="303"/>
      <c r="Q14" s="302"/>
      <c r="R14" s="302"/>
      <c r="S14" s="766"/>
      <c r="T14" s="768"/>
      <c r="U14" s="760"/>
      <c r="V14" s="2">
        <v>2</v>
      </c>
    </row>
    <row r="15" spans="1:22" x14ac:dyDescent="0.3">
      <c r="V15" s="8">
        <v>3</v>
      </c>
    </row>
  </sheetData>
  <sheetProtection password="EB34" sheet="1" objects="1" scenarios="1" formatCells="0" formatColumns="0" formatRows="0"/>
  <mergeCells count="33">
    <mergeCell ref="A9:A12"/>
    <mergeCell ref="B9:B12"/>
    <mergeCell ref="C9:C12"/>
    <mergeCell ref="Q2:S2"/>
    <mergeCell ref="E2:F2"/>
    <mergeCell ref="L2:M2"/>
    <mergeCell ref="M9:M12"/>
    <mergeCell ref="S9:S12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T9:T12"/>
    <mergeCell ref="A13:A14"/>
    <mergeCell ref="M13:M14"/>
    <mergeCell ref="S13:S14"/>
    <mergeCell ref="B13:B14"/>
    <mergeCell ref="T13:T14"/>
    <mergeCell ref="C13:C14"/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27"/>
  <sheetViews>
    <sheetView showGridLines="0" topLeftCell="O1" zoomScale="70" zoomScaleNormal="70" workbookViewId="0">
      <pane ySplit="8" topLeftCell="A19" activePane="bottomLeft" state="frozen"/>
      <selection pane="bottomLeft" activeCell="R18" sqref="R18:R26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709" t="s">
        <v>139</v>
      </c>
      <c r="F2" s="710"/>
      <c r="G2" s="100">
        <f>SUM(G9:G9999)</f>
        <v>2199589.56</v>
      </c>
      <c r="H2" s="15"/>
      <c r="O2" s="709" t="s">
        <v>24</v>
      </c>
      <c r="P2" s="710"/>
      <c r="Q2" s="98">
        <f>SUM(Q9:Q9999)</f>
        <v>1722277.84</v>
      </c>
      <c r="T2" s="565" t="s">
        <v>137</v>
      </c>
      <c r="U2" s="567"/>
      <c r="V2" s="87">
        <f>SUM(V9:V9999)</f>
        <v>768095.64999999991</v>
      </c>
      <c r="X2" s="86"/>
      <c r="Y2" s="565" t="s">
        <v>45</v>
      </c>
      <c r="Z2" s="566"/>
      <c r="AA2" s="567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44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7" customFormat="1" ht="144" customHeight="1" x14ac:dyDescent="0.3">
      <c r="A9" s="515">
        <v>1</v>
      </c>
      <c r="B9" s="521" t="s">
        <v>56</v>
      </c>
      <c r="C9" s="521" t="s">
        <v>188</v>
      </c>
      <c r="D9" s="521" t="s">
        <v>147</v>
      </c>
      <c r="E9" s="521" t="s">
        <v>189</v>
      </c>
      <c r="F9" s="521" t="s">
        <v>190</v>
      </c>
      <c r="G9" s="519">
        <v>740465.76</v>
      </c>
      <c r="H9" s="533">
        <f>IF(AD9 = 1, G9 - Q9,0)</f>
        <v>348018.92</v>
      </c>
      <c r="I9" s="519">
        <v>5</v>
      </c>
      <c r="J9" s="519"/>
      <c r="K9" s="521" t="s">
        <v>163</v>
      </c>
      <c r="L9" s="521" t="s">
        <v>191</v>
      </c>
      <c r="M9" s="521" t="s">
        <v>189</v>
      </c>
      <c r="N9" s="517">
        <v>45286</v>
      </c>
      <c r="O9" s="807">
        <v>2304067057</v>
      </c>
      <c r="P9" s="810" t="s">
        <v>192</v>
      </c>
      <c r="Q9" s="519">
        <v>392446.84</v>
      </c>
      <c r="R9" s="533">
        <f>IF(AD9 = 1, Q9 + SUM(Y9:Y14) - SUM(Z9:Z14) - SUM(V9:V14) - AB9,0)</f>
        <v>5.8207660913467407E-11</v>
      </c>
      <c r="S9" s="521"/>
      <c r="T9" s="338">
        <v>45322</v>
      </c>
      <c r="U9" s="622" t="s">
        <v>165</v>
      </c>
      <c r="V9" s="323">
        <v>68347.48</v>
      </c>
      <c r="W9" s="338">
        <v>45324</v>
      </c>
      <c r="X9" s="325"/>
      <c r="Y9" s="323"/>
      <c r="Z9" s="323"/>
      <c r="AA9" s="622"/>
      <c r="AB9" s="519"/>
      <c r="AC9" s="521"/>
      <c r="AD9" s="107">
        <v>1</v>
      </c>
    </row>
    <row r="10" spans="1:33" s="2" customFormat="1" x14ac:dyDescent="0.3">
      <c r="A10" s="630"/>
      <c r="B10" s="619"/>
      <c r="C10" s="619"/>
      <c r="D10" s="619"/>
      <c r="E10" s="619"/>
      <c r="F10" s="619"/>
      <c r="G10" s="615"/>
      <c r="H10" s="625"/>
      <c r="I10" s="615"/>
      <c r="J10" s="615"/>
      <c r="K10" s="619"/>
      <c r="L10" s="619"/>
      <c r="M10" s="619"/>
      <c r="N10" s="621"/>
      <c r="O10" s="808"/>
      <c r="P10" s="811"/>
      <c r="Q10" s="615"/>
      <c r="R10" s="625"/>
      <c r="S10" s="619"/>
      <c r="T10" s="339">
        <v>45351</v>
      </c>
      <c r="U10" s="623"/>
      <c r="V10" s="326">
        <v>63937.97</v>
      </c>
      <c r="W10" s="339">
        <v>45357</v>
      </c>
      <c r="X10" s="328"/>
      <c r="Y10" s="326"/>
      <c r="Z10" s="326"/>
      <c r="AA10" s="623"/>
      <c r="AB10" s="615"/>
      <c r="AC10" s="619"/>
      <c r="AD10" s="2">
        <v>1</v>
      </c>
    </row>
    <row r="11" spans="1:33" s="2" customFormat="1" x14ac:dyDescent="0.3">
      <c r="A11" s="630"/>
      <c r="B11" s="619"/>
      <c r="C11" s="619"/>
      <c r="D11" s="619"/>
      <c r="E11" s="619"/>
      <c r="F11" s="619"/>
      <c r="G11" s="615"/>
      <c r="H11" s="625"/>
      <c r="I11" s="615"/>
      <c r="J11" s="615"/>
      <c r="K11" s="619"/>
      <c r="L11" s="619"/>
      <c r="M11" s="619"/>
      <c r="N11" s="621"/>
      <c r="O11" s="808"/>
      <c r="P11" s="811"/>
      <c r="Q11" s="615"/>
      <c r="R11" s="625"/>
      <c r="S11" s="619"/>
      <c r="T11" s="339">
        <v>45384</v>
      </c>
      <c r="U11" s="623"/>
      <c r="V11" s="326">
        <v>68347.48</v>
      </c>
      <c r="W11" s="339">
        <v>45385</v>
      </c>
      <c r="X11" s="328"/>
      <c r="Y11" s="326"/>
      <c r="Z11" s="326"/>
      <c r="AA11" s="623"/>
      <c r="AB11" s="615"/>
      <c r="AC11" s="619"/>
      <c r="AD11" s="2">
        <v>1</v>
      </c>
    </row>
    <row r="12" spans="1:33" s="2" customFormat="1" x14ac:dyDescent="0.3">
      <c r="A12" s="630"/>
      <c r="B12" s="619"/>
      <c r="C12" s="619"/>
      <c r="D12" s="619"/>
      <c r="E12" s="619"/>
      <c r="F12" s="619"/>
      <c r="G12" s="615"/>
      <c r="H12" s="625"/>
      <c r="I12" s="615"/>
      <c r="J12" s="615"/>
      <c r="K12" s="619"/>
      <c r="L12" s="619"/>
      <c r="M12" s="619"/>
      <c r="N12" s="621"/>
      <c r="O12" s="808"/>
      <c r="P12" s="811"/>
      <c r="Q12" s="615"/>
      <c r="R12" s="625"/>
      <c r="S12" s="619"/>
      <c r="T12" s="339">
        <v>45413</v>
      </c>
      <c r="U12" s="623"/>
      <c r="V12" s="326">
        <v>66142.73</v>
      </c>
      <c r="W12" s="339">
        <v>45419</v>
      </c>
      <c r="X12" s="328"/>
      <c r="Y12" s="326"/>
      <c r="Z12" s="326"/>
      <c r="AA12" s="623"/>
      <c r="AB12" s="615"/>
      <c r="AC12" s="619"/>
      <c r="AD12" s="2">
        <v>1</v>
      </c>
    </row>
    <row r="13" spans="1:33" s="2" customFormat="1" x14ac:dyDescent="0.3">
      <c r="A13" s="630"/>
      <c r="B13" s="619"/>
      <c r="C13" s="619"/>
      <c r="D13" s="619"/>
      <c r="E13" s="619"/>
      <c r="F13" s="619"/>
      <c r="G13" s="615"/>
      <c r="H13" s="625"/>
      <c r="I13" s="615"/>
      <c r="J13" s="615"/>
      <c r="K13" s="619"/>
      <c r="L13" s="619"/>
      <c r="M13" s="619"/>
      <c r="N13" s="621"/>
      <c r="O13" s="808"/>
      <c r="P13" s="811"/>
      <c r="Q13" s="615"/>
      <c r="R13" s="625"/>
      <c r="S13" s="619"/>
      <c r="T13" s="339">
        <v>45445</v>
      </c>
      <c r="U13" s="623"/>
      <c r="V13" s="326">
        <v>68347.48</v>
      </c>
      <c r="W13" s="339">
        <v>45448</v>
      </c>
      <c r="X13" s="328"/>
      <c r="Y13" s="326"/>
      <c r="Z13" s="326"/>
      <c r="AA13" s="623"/>
      <c r="AB13" s="615"/>
      <c r="AC13" s="619"/>
      <c r="AD13" s="2">
        <v>1</v>
      </c>
    </row>
    <row r="14" spans="1:33" s="2" customFormat="1" x14ac:dyDescent="0.3">
      <c r="A14" s="516"/>
      <c r="B14" s="522"/>
      <c r="C14" s="522"/>
      <c r="D14" s="522"/>
      <c r="E14" s="522"/>
      <c r="F14" s="522"/>
      <c r="G14" s="520"/>
      <c r="H14" s="534"/>
      <c r="I14" s="520"/>
      <c r="J14" s="520"/>
      <c r="K14" s="522"/>
      <c r="L14" s="522"/>
      <c r="M14" s="522"/>
      <c r="N14" s="518"/>
      <c r="O14" s="809"/>
      <c r="P14" s="812"/>
      <c r="Q14" s="520"/>
      <c r="R14" s="534"/>
      <c r="S14" s="522"/>
      <c r="T14" s="340">
        <v>45476</v>
      </c>
      <c r="U14" s="624"/>
      <c r="V14" s="333">
        <v>57323.7</v>
      </c>
      <c r="W14" s="340">
        <v>45476</v>
      </c>
      <c r="X14" s="335"/>
      <c r="Y14" s="333"/>
      <c r="Z14" s="333"/>
      <c r="AA14" s="624"/>
      <c r="AB14" s="520"/>
      <c r="AC14" s="522"/>
      <c r="AD14" s="2">
        <v>1</v>
      </c>
    </row>
    <row r="15" spans="1:33" s="107" customFormat="1" ht="144" customHeight="1" x14ac:dyDescent="0.3">
      <c r="A15" s="643">
        <v>2</v>
      </c>
      <c r="B15" s="649" t="s">
        <v>56</v>
      </c>
      <c r="C15" s="649" t="s">
        <v>313</v>
      </c>
      <c r="D15" s="649" t="s">
        <v>147</v>
      </c>
      <c r="E15" s="649" t="s">
        <v>311</v>
      </c>
      <c r="F15" s="649" t="s">
        <v>190</v>
      </c>
      <c r="G15" s="655">
        <v>349440</v>
      </c>
      <c r="H15" s="682">
        <f>IF(AD15 = 2, G15 - Q15,0)</f>
        <v>129292.79999999999</v>
      </c>
      <c r="I15" s="655">
        <v>5</v>
      </c>
      <c r="J15" s="655"/>
      <c r="K15" s="649" t="s">
        <v>146</v>
      </c>
      <c r="L15" s="649" t="s">
        <v>312</v>
      </c>
      <c r="M15" s="649" t="s">
        <v>314</v>
      </c>
      <c r="N15" s="646">
        <v>45470</v>
      </c>
      <c r="O15" s="801">
        <v>2304067057</v>
      </c>
      <c r="P15" s="804" t="s">
        <v>192</v>
      </c>
      <c r="Q15" s="655">
        <v>220147.20000000001</v>
      </c>
      <c r="R15" s="682">
        <f>IF(AD15 = 2, Q15 + SUM(Y15:Y17) - SUM(Z15:Z17) - SUM(V15:V17) - AB15,0)</f>
        <v>60480</v>
      </c>
      <c r="S15" s="649"/>
      <c r="T15" s="380">
        <v>45475</v>
      </c>
      <c r="U15" s="652" t="s">
        <v>165</v>
      </c>
      <c r="V15" s="371">
        <v>9676.7999999999993</v>
      </c>
      <c r="W15" s="380">
        <v>45481</v>
      </c>
      <c r="X15" s="373"/>
      <c r="Y15" s="371"/>
      <c r="Z15" s="371"/>
      <c r="AA15" s="652"/>
      <c r="AB15" s="655"/>
      <c r="AC15" s="649"/>
      <c r="AD15" s="107">
        <v>2</v>
      </c>
    </row>
    <row r="16" spans="1:33" s="2" customFormat="1" x14ac:dyDescent="0.3">
      <c r="A16" s="644"/>
      <c r="B16" s="650"/>
      <c r="C16" s="650"/>
      <c r="D16" s="650"/>
      <c r="E16" s="650"/>
      <c r="F16" s="650"/>
      <c r="G16" s="656"/>
      <c r="H16" s="683"/>
      <c r="I16" s="656"/>
      <c r="J16" s="656"/>
      <c r="K16" s="650"/>
      <c r="L16" s="650"/>
      <c r="M16" s="650"/>
      <c r="N16" s="647"/>
      <c r="O16" s="802"/>
      <c r="P16" s="805"/>
      <c r="Q16" s="656"/>
      <c r="R16" s="683"/>
      <c r="S16" s="650"/>
      <c r="T16" s="381">
        <v>45505</v>
      </c>
      <c r="U16" s="653"/>
      <c r="V16" s="374">
        <v>74995.199999999997</v>
      </c>
      <c r="W16" s="381">
        <v>45512</v>
      </c>
      <c r="X16" s="376"/>
      <c r="Y16" s="374"/>
      <c r="Z16" s="374"/>
      <c r="AA16" s="653"/>
      <c r="AB16" s="656"/>
      <c r="AC16" s="650"/>
      <c r="AD16" s="2">
        <v>2</v>
      </c>
    </row>
    <row r="17" spans="1:30" s="2" customFormat="1" x14ac:dyDescent="0.3">
      <c r="A17" s="645"/>
      <c r="B17" s="651"/>
      <c r="C17" s="651"/>
      <c r="D17" s="651"/>
      <c r="E17" s="651"/>
      <c r="F17" s="651"/>
      <c r="G17" s="657"/>
      <c r="H17" s="684"/>
      <c r="I17" s="657"/>
      <c r="J17" s="657"/>
      <c r="K17" s="651"/>
      <c r="L17" s="651"/>
      <c r="M17" s="651"/>
      <c r="N17" s="648"/>
      <c r="O17" s="803"/>
      <c r="P17" s="806"/>
      <c r="Q17" s="657"/>
      <c r="R17" s="684"/>
      <c r="S17" s="651"/>
      <c r="T17" s="382">
        <v>45536</v>
      </c>
      <c r="U17" s="654"/>
      <c r="V17" s="377">
        <v>74995.199999999997</v>
      </c>
      <c r="W17" s="382">
        <v>45540</v>
      </c>
      <c r="X17" s="379"/>
      <c r="Y17" s="377"/>
      <c r="Z17" s="377"/>
      <c r="AA17" s="654"/>
      <c r="AB17" s="657"/>
      <c r="AC17" s="651"/>
      <c r="AD17" s="2">
        <v>2</v>
      </c>
    </row>
    <row r="18" spans="1:30" s="107" customFormat="1" ht="180" customHeight="1" x14ac:dyDescent="0.3">
      <c r="A18" s="813">
        <v>3</v>
      </c>
      <c r="B18" s="819" t="s">
        <v>56</v>
      </c>
      <c r="C18" s="819" t="s">
        <v>316</v>
      </c>
      <c r="D18" s="819" t="s">
        <v>147</v>
      </c>
      <c r="E18" s="819" t="s">
        <v>315</v>
      </c>
      <c r="F18" s="819" t="s">
        <v>317</v>
      </c>
      <c r="G18" s="822">
        <v>1109683.8</v>
      </c>
      <c r="H18" s="828">
        <f>IF(AD18 = 3, G18 - Q18,0)</f>
        <v>0</v>
      </c>
      <c r="I18" s="822">
        <v>3</v>
      </c>
      <c r="J18" s="822"/>
      <c r="K18" s="819" t="s">
        <v>163</v>
      </c>
      <c r="L18" s="819" t="s">
        <v>318</v>
      </c>
      <c r="M18" s="819" t="s">
        <v>315</v>
      </c>
      <c r="N18" s="831">
        <v>45473</v>
      </c>
      <c r="O18" s="834">
        <v>2353020735</v>
      </c>
      <c r="P18" s="837" t="s">
        <v>319</v>
      </c>
      <c r="Q18" s="822">
        <v>1109683.8</v>
      </c>
      <c r="R18" s="828">
        <f>IF(AD18 = 3, Q18 + SUM(Y18:Y26) - SUM(Z18:Z26) - SUM(V18:V26) - AB18,0)</f>
        <v>893702.19000000006</v>
      </c>
      <c r="S18" s="819"/>
      <c r="T18" s="444">
        <v>45553</v>
      </c>
      <c r="U18" s="816" t="s">
        <v>165</v>
      </c>
      <c r="V18" s="438">
        <v>54338.33</v>
      </c>
      <c r="W18" s="444">
        <v>45560</v>
      </c>
      <c r="X18" s="439"/>
      <c r="Y18" s="438"/>
      <c r="Z18" s="438"/>
      <c r="AA18" s="816"/>
      <c r="AB18" s="822"/>
      <c r="AC18" s="825"/>
      <c r="AD18" s="107">
        <v>3</v>
      </c>
    </row>
    <row r="19" spans="1:30" s="2" customFormat="1" x14ac:dyDescent="0.3">
      <c r="A19" s="814"/>
      <c r="B19" s="820"/>
      <c r="C19" s="820"/>
      <c r="D19" s="820"/>
      <c r="E19" s="820"/>
      <c r="F19" s="820"/>
      <c r="G19" s="823"/>
      <c r="H19" s="829"/>
      <c r="I19" s="823"/>
      <c r="J19" s="823"/>
      <c r="K19" s="820"/>
      <c r="L19" s="820"/>
      <c r="M19" s="820"/>
      <c r="N19" s="832"/>
      <c r="O19" s="835"/>
      <c r="P19" s="838"/>
      <c r="Q19" s="823"/>
      <c r="R19" s="829"/>
      <c r="S19" s="820"/>
      <c r="T19" s="445">
        <v>45553</v>
      </c>
      <c r="U19" s="817"/>
      <c r="V19" s="440">
        <v>3468.2</v>
      </c>
      <c r="W19" s="445">
        <v>45560</v>
      </c>
      <c r="X19" s="441"/>
      <c r="Y19" s="440"/>
      <c r="Z19" s="440"/>
      <c r="AA19" s="817"/>
      <c r="AB19" s="823"/>
      <c r="AC19" s="826"/>
      <c r="AD19" s="2">
        <v>3</v>
      </c>
    </row>
    <row r="20" spans="1:30" s="2" customFormat="1" x14ac:dyDescent="0.3">
      <c r="A20" s="814"/>
      <c r="B20" s="820"/>
      <c r="C20" s="820"/>
      <c r="D20" s="820"/>
      <c r="E20" s="820"/>
      <c r="F20" s="820"/>
      <c r="G20" s="823"/>
      <c r="H20" s="829"/>
      <c r="I20" s="823"/>
      <c r="J20" s="823"/>
      <c r="K20" s="820"/>
      <c r="L20" s="820"/>
      <c r="M20" s="820"/>
      <c r="N20" s="832"/>
      <c r="O20" s="835"/>
      <c r="P20" s="838"/>
      <c r="Q20" s="823"/>
      <c r="R20" s="829"/>
      <c r="S20" s="820"/>
      <c r="T20" s="445">
        <v>45553</v>
      </c>
      <c r="U20" s="817"/>
      <c r="V20" s="440">
        <v>17517.13</v>
      </c>
      <c r="W20" s="445">
        <v>45560</v>
      </c>
      <c r="X20" s="441"/>
      <c r="Y20" s="440"/>
      <c r="Z20" s="440"/>
      <c r="AA20" s="817"/>
      <c r="AB20" s="823"/>
      <c r="AC20" s="826"/>
      <c r="AD20" s="2">
        <v>3</v>
      </c>
    </row>
    <row r="21" spans="1:30" s="2" customFormat="1" x14ac:dyDescent="0.3">
      <c r="A21" s="814"/>
      <c r="B21" s="820"/>
      <c r="C21" s="820"/>
      <c r="D21" s="820"/>
      <c r="E21" s="820"/>
      <c r="F21" s="820"/>
      <c r="G21" s="823"/>
      <c r="H21" s="829"/>
      <c r="I21" s="823"/>
      <c r="J21" s="823"/>
      <c r="K21" s="820"/>
      <c r="L21" s="820"/>
      <c r="M21" s="820"/>
      <c r="N21" s="832"/>
      <c r="O21" s="835"/>
      <c r="P21" s="838"/>
      <c r="Q21" s="823"/>
      <c r="R21" s="829"/>
      <c r="S21" s="820"/>
      <c r="T21" s="445">
        <v>45566</v>
      </c>
      <c r="U21" s="817"/>
      <c r="V21" s="440">
        <v>51070.66</v>
      </c>
      <c r="W21" s="445">
        <v>45573</v>
      </c>
      <c r="X21" s="441"/>
      <c r="Y21" s="440"/>
      <c r="Z21" s="440"/>
      <c r="AA21" s="817"/>
      <c r="AB21" s="823"/>
      <c r="AC21" s="826"/>
      <c r="AD21" s="2">
        <v>3</v>
      </c>
    </row>
    <row r="22" spans="1:30" s="2" customFormat="1" x14ac:dyDescent="0.3">
      <c r="A22" s="814"/>
      <c r="B22" s="820"/>
      <c r="C22" s="820"/>
      <c r="D22" s="820"/>
      <c r="E22" s="820"/>
      <c r="F22" s="820"/>
      <c r="G22" s="823"/>
      <c r="H22" s="829"/>
      <c r="I22" s="823"/>
      <c r="J22" s="823"/>
      <c r="K22" s="820"/>
      <c r="L22" s="820"/>
      <c r="M22" s="820"/>
      <c r="N22" s="832"/>
      <c r="O22" s="835"/>
      <c r="P22" s="838"/>
      <c r="Q22" s="823"/>
      <c r="R22" s="829"/>
      <c r="S22" s="820"/>
      <c r="T22" s="445">
        <v>45566</v>
      </c>
      <c r="U22" s="817"/>
      <c r="V22" s="440">
        <v>3259.86</v>
      </c>
      <c r="W22" s="445">
        <v>45573</v>
      </c>
      <c r="X22" s="441"/>
      <c r="Y22" s="440"/>
      <c r="Z22" s="440"/>
      <c r="AA22" s="817"/>
      <c r="AB22" s="823"/>
      <c r="AC22" s="826"/>
      <c r="AD22" s="2">
        <v>3</v>
      </c>
    </row>
    <row r="23" spans="1:30" s="2" customFormat="1" x14ac:dyDescent="0.3">
      <c r="A23" s="814"/>
      <c r="B23" s="820"/>
      <c r="C23" s="820"/>
      <c r="D23" s="820"/>
      <c r="E23" s="820"/>
      <c r="F23" s="820"/>
      <c r="G23" s="823"/>
      <c r="H23" s="829"/>
      <c r="I23" s="823"/>
      <c r="J23" s="823"/>
      <c r="K23" s="820"/>
      <c r="L23" s="820"/>
      <c r="M23" s="820"/>
      <c r="N23" s="832"/>
      <c r="O23" s="835"/>
      <c r="P23" s="838"/>
      <c r="Q23" s="823"/>
      <c r="R23" s="829"/>
      <c r="S23" s="820"/>
      <c r="T23" s="445">
        <v>45566</v>
      </c>
      <c r="U23" s="817"/>
      <c r="V23" s="440">
        <v>16463.8</v>
      </c>
      <c r="W23" s="445">
        <v>45573</v>
      </c>
      <c r="X23" s="441"/>
      <c r="Y23" s="440"/>
      <c r="Z23" s="440"/>
      <c r="AA23" s="817"/>
      <c r="AB23" s="823"/>
      <c r="AC23" s="826"/>
      <c r="AD23" s="2">
        <v>3</v>
      </c>
    </row>
    <row r="24" spans="1:30" s="2" customFormat="1" x14ac:dyDescent="0.3">
      <c r="A24" s="814"/>
      <c r="B24" s="820"/>
      <c r="C24" s="820"/>
      <c r="D24" s="820"/>
      <c r="E24" s="820"/>
      <c r="F24" s="820"/>
      <c r="G24" s="823"/>
      <c r="H24" s="829"/>
      <c r="I24" s="823"/>
      <c r="J24" s="823"/>
      <c r="K24" s="820"/>
      <c r="L24" s="820"/>
      <c r="M24" s="820"/>
      <c r="N24" s="832"/>
      <c r="O24" s="835"/>
      <c r="P24" s="838"/>
      <c r="Q24" s="823"/>
      <c r="R24" s="829"/>
      <c r="S24" s="820"/>
      <c r="T24" s="445">
        <v>45580</v>
      </c>
      <c r="U24" s="817"/>
      <c r="V24" s="440">
        <v>50399.27</v>
      </c>
      <c r="W24" s="445">
        <v>45593</v>
      </c>
      <c r="X24" s="441"/>
      <c r="Y24" s="440"/>
      <c r="Z24" s="440"/>
      <c r="AA24" s="817"/>
      <c r="AB24" s="823"/>
      <c r="AC24" s="826"/>
      <c r="AD24" s="2">
        <v>3</v>
      </c>
    </row>
    <row r="25" spans="1:30" s="2" customFormat="1" x14ac:dyDescent="0.3">
      <c r="A25" s="814"/>
      <c r="B25" s="820"/>
      <c r="C25" s="820"/>
      <c r="D25" s="820"/>
      <c r="E25" s="820"/>
      <c r="F25" s="820"/>
      <c r="G25" s="823"/>
      <c r="H25" s="829"/>
      <c r="I25" s="823"/>
      <c r="J25" s="823"/>
      <c r="K25" s="820"/>
      <c r="L25" s="820"/>
      <c r="M25" s="820"/>
      <c r="N25" s="832"/>
      <c r="O25" s="835"/>
      <c r="P25" s="838"/>
      <c r="Q25" s="823"/>
      <c r="R25" s="829"/>
      <c r="S25" s="820"/>
      <c r="T25" s="445">
        <v>45580</v>
      </c>
      <c r="U25" s="817"/>
      <c r="V25" s="440">
        <v>3217</v>
      </c>
      <c r="W25" s="445">
        <v>45593</v>
      </c>
      <c r="X25" s="441"/>
      <c r="Y25" s="440"/>
      <c r="Z25" s="440"/>
      <c r="AA25" s="817"/>
      <c r="AB25" s="823"/>
      <c r="AC25" s="826"/>
      <c r="AD25" s="2">
        <v>3</v>
      </c>
    </row>
    <row r="26" spans="1:30" s="2" customFormat="1" x14ac:dyDescent="0.3">
      <c r="A26" s="815"/>
      <c r="B26" s="821"/>
      <c r="C26" s="821"/>
      <c r="D26" s="821"/>
      <c r="E26" s="821"/>
      <c r="F26" s="821"/>
      <c r="G26" s="824"/>
      <c r="H26" s="830"/>
      <c r="I26" s="824"/>
      <c r="J26" s="824"/>
      <c r="K26" s="821"/>
      <c r="L26" s="821"/>
      <c r="M26" s="821"/>
      <c r="N26" s="833"/>
      <c r="O26" s="836"/>
      <c r="P26" s="839"/>
      <c r="Q26" s="824"/>
      <c r="R26" s="830"/>
      <c r="S26" s="821"/>
      <c r="T26" s="446">
        <v>45580</v>
      </c>
      <c r="U26" s="818"/>
      <c r="V26" s="442">
        <v>16247.36</v>
      </c>
      <c r="W26" s="445">
        <v>45593</v>
      </c>
      <c r="X26" s="443"/>
      <c r="Y26" s="442"/>
      <c r="Z26" s="442"/>
      <c r="AA26" s="818"/>
      <c r="AB26" s="824"/>
      <c r="AC26" s="827"/>
      <c r="AD26" s="2">
        <v>3</v>
      </c>
    </row>
    <row r="27" spans="1:30" x14ac:dyDescent="0.3">
      <c r="AD27" s="8">
        <v>4</v>
      </c>
    </row>
  </sheetData>
  <sheetProtection password="EB34" sheet="1" objects="1" scenarios="1" formatCells="0" formatColumns="0" formatRows="0"/>
  <mergeCells count="73">
    <mergeCell ref="AC18:AC26"/>
    <mergeCell ref="D18:D26"/>
    <mergeCell ref="E18:E26"/>
    <mergeCell ref="F18:F26"/>
    <mergeCell ref="G18:G26"/>
    <mergeCell ref="H18:H26"/>
    <mergeCell ref="I18:I26"/>
    <mergeCell ref="J18:J26"/>
    <mergeCell ref="K18:K26"/>
    <mergeCell ref="L18:L26"/>
    <mergeCell ref="M18:M26"/>
    <mergeCell ref="N18:N26"/>
    <mergeCell ref="O18:O26"/>
    <mergeCell ref="P18:P26"/>
    <mergeCell ref="Q18:Q26"/>
    <mergeCell ref="R18:R26"/>
    <mergeCell ref="A18:A26"/>
    <mergeCell ref="U18:U26"/>
    <mergeCell ref="AA18:AA26"/>
    <mergeCell ref="B18:B26"/>
    <mergeCell ref="AB18:AB26"/>
    <mergeCell ref="C18:C26"/>
    <mergeCell ref="S18:S26"/>
    <mergeCell ref="A9:A14"/>
    <mergeCell ref="B9:B14"/>
    <mergeCell ref="U9:U14"/>
    <mergeCell ref="AA9:AA14"/>
    <mergeCell ref="A15:A17"/>
    <mergeCell ref="U15:U17"/>
    <mergeCell ref="AA15:AA17"/>
    <mergeCell ref="B15:B17"/>
    <mergeCell ref="Q15:Q17"/>
    <mergeCell ref="R15:R17"/>
    <mergeCell ref="S15:S17"/>
    <mergeCell ref="E2:F2"/>
    <mergeCell ref="O2:P2"/>
    <mergeCell ref="Y2:AA2"/>
    <mergeCell ref="T2:U2"/>
    <mergeCell ref="Q9:Q14"/>
    <mergeCell ref="R9:R14"/>
    <mergeCell ref="S9:S14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  <mergeCell ref="AB15:AB17"/>
    <mergeCell ref="C15:C17"/>
    <mergeCell ref="AC15:A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O15:O17"/>
    <mergeCell ref="P15:P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2"/>
  <sheetViews>
    <sheetView showGridLines="0" topLeftCell="O1" zoomScale="70" zoomScaleNormal="70" workbookViewId="0">
      <pane ySplit="8" topLeftCell="A13" activePane="bottomLeft" state="frozen"/>
      <selection pane="bottomLeft" activeCell="U31" sqref="U31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709" t="s">
        <v>139</v>
      </c>
      <c r="F2" s="710"/>
      <c r="G2" s="100">
        <f>SUM(G9:G9999)</f>
        <v>878669.45</v>
      </c>
      <c r="H2" s="15"/>
      <c r="O2" s="709" t="s">
        <v>24</v>
      </c>
      <c r="P2" s="710"/>
      <c r="Q2" s="98">
        <f>SUM(Q9:Q9999)</f>
        <v>878669.45</v>
      </c>
      <c r="T2" s="565" t="s">
        <v>137</v>
      </c>
      <c r="U2" s="567"/>
      <c r="V2" s="87">
        <f>SUM(V9:V9999)</f>
        <v>715794.62</v>
      </c>
      <c r="X2" s="86"/>
      <c r="Y2" s="565" t="s">
        <v>45</v>
      </c>
      <c r="Z2" s="566"/>
      <c r="AA2" s="567"/>
      <c r="AB2" s="88">
        <f>SUM(AB9:AB9999)</f>
        <v>12154.83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6.2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7" customFormat="1" ht="144" customHeight="1" x14ac:dyDescent="0.3">
      <c r="A9" s="855">
        <v>1</v>
      </c>
      <c r="B9" s="843" t="s">
        <v>56</v>
      </c>
      <c r="C9" s="843" t="s">
        <v>182</v>
      </c>
      <c r="D9" s="843" t="s">
        <v>147</v>
      </c>
      <c r="E9" s="843" t="s">
        <v>183</v>
      </c>
      <c r="F9" s="843" t="s">
        <v>184</v>
      </c>
      <c r="G9" s="840">
        <v>667469.44999999995</v>
      </c>
      <c r="H9" s="849">
        <f>IF(AD9 = 1, G9 - Q9,0)</f>
        <v>0</v>
      </c>
      <c r="I9" s="840">
        <v>1</v>
      </c>
      <c r="J9" s="840"/>
      <c r="K9" s="843" t="s">
        <v>163</v>
      </c>
      <c r="L9" s="843" t="s">
        <v>185</v>
      </c>
      <c r="M9" s="843" t="s">
        <v>183</v>
      </c>
      <c r="N9" s="852">
        <v>45285</v>
      </c>
      <c r="O9" s="843" t="s">
        <v>186</v>
      </c>
      <c r="P9" s="843" t="s">
        <v>187</v>
      </c>
      <c r="Q9" s="840">
        <v>667469.44999999995</v>
      </c>
      <c r="R9" s="849">
        <f>IF(AD9 = 1, Q9 + SUM(Y9:Y30) - SUM(Z9:Z30) - SUM(V9:V30) - AB9,0)</f>
        <v>-4.1836756281554699E-11</v>
      </c>
      <c r="S9" s="843"/>
      <c r="T9" s="224">
        <v>45324</v>
      </c>
      <c r="U9" s="843" t="s">
        <v>165</v>
      </c>
      <c r="V9" s="217">
        <v>23760</v>
      </c>
      <c r="W9" s="224">
        <v>45334</v>
      </c>
      <c r="X9" s="218"/>
      <c r="Y9" s="217"/>
      <c r="Z9" s="217"/>
      <c r="AA9" s="843"/>
      <c r="AB9" s="840">
        <v>12154.83</v>
      </c>
      <c r="AC9" s="846"/>
      <c r="AD9" s="107">
        <v>1</v>
      </c>
    </row>
    <row r="10" spans="1:33" s="2" customFormat="1" x14ac:dyDescent="0.3">
      <c r="A10" s="856"/>
      <c r="B10" s="844"/>
      <c r="C10" s="844"/>
      <c r="D10" s="844"/>
      <c r="E10" s="844"/>
      <c r="F10" s="844"/>
      <c r="G10" s="841"/>
      <c r="H10" s="850"/>
      <c r="I10" s="841"/>
      <c r="J10" s="841"/>
      <c r="K10" s="844"/>
      <c r="L10" s="844"/>
      <c r="M10" s="844"/>
      <c r="N10" s="853"/>
      <c r="O10" s="844"/>
      <c r="P10" s="844"/>
      <c r="Q10" s="841"/>
      <c r="R10" s="850"/>
      <c r="S10" s="844"/>
      <c r="T10" s="225">
        <v>45329</v>
      </c>
      <c r="U10" s="844"/>
      <c r="V10" s="219">
        <v>450</v>
      </c>
      <c r="W10" s="225">
        <v>45334</v>
      </c>
      <c r="X10" s="220"/>
      <c r="Y10" s="219"/>
      <c r="Z10" s="219"/>
      <c r="AA10" s="844"/>
      <c r="AB10" s="841"/>
      <c r="AC10" s="847"/>
      <c r="AD10" s="2">
        <v>1</v>
      </c>
    </row>
    <row r="11" spans="1:33" s="2" customFormat="1" x14ac:dyDescent="0.3">
      <c r="A11" s="856"/>
      <c r="B11" s="844"/>
      <c r="C11" s="844"/>
      <c r="D11" s="844"/>
      <c r="E11" s="844"/>
      <c r="F11" s="844"/>
      <c r="G11" s="841"/>
      <c r="H11" s="850"/>
      <c r="I11" s="841"/>
      <c r="J11" s="841"/>
      <c r="K11" s="844"/>
      <c r="L11" s="844"/>
      <c r="M11" s="844"/>
      <c r="N11" s="853"/>
      <c r="O11" s="844"/>
      <c r="P11" s="844"/>
      <c r="Q11" s="841"/>
      <c r="R11" s="850"/>
      <c r="S11" s="844"/>
      <c r="T11" s="225">
        <v>45317</v>
      </c>
      <c r="U11" s="844"/>
      <c r="V11" s="219">
        <v>27600</v>
      </c>
      <c r="W11" s="225">
        <v>45334</v>
      </c>
      <c r="X11" s="220"/>
      <c r="Y11" s="219"/>
      <c r="Z11" s="219"/>
      <c r="AA11" s="844"/>
      <c r="AB11" s="841"/>
      <c r="AC11" s="847"/>
      <c r="AD11" s="2">
        <v>1</v>
      </c>
    </row>
    <row r="12" spans="1:33" s="2" customFormat="1" x14ac:dyDescent="0.3">
      <c r="A12" s="856"/>
      <c r="B12" s="844"/>
      <c r="C12" s="844"/>
      <c r="D12" s="844"/>
      <c r="E12" s="844"/>
      <c r="F12" s="844"/>
      <c r="G12" s="841"/>
      <c r="H12" s="850"/>
      <c r="I12" s="841"/>
      <c r="J12" s="841"/>
      <c r="K12" s="844"/>
      <c r="L12" s="844"/>
      <c r="M12" s="844"/>
      <c r="N12" s="853"/>
      <c r="O12" s="844"/>
      <c r="P12" s="844"/>
      <c r="Q12" s="841"/>
      <c r="R12" s="850"/>
      <c r="S12" s="844"/>
      <c r="T12" s="225">
        <v>45324</v>
      </c>
      <c r="U12" s="844"/>
      <c r="V12" s="219">
        <v>68246.42</v>
      </c>
      <c r="W12" s="225">
        <v>45338</v>
      </c>
      <c r="X12" s="220"/>
      <c r="Y12" s="219"/>
      <c r="Z12" s="219"/>
      <c r="AA12" s="844"/>
      <c r="AB12" s="841"/>
      <c r="AC12" s="847"/>
      <c r="AD12" s="2">
        <v>1</v>
      </c>
    </row>
    <row r="13" spans="1:33" s="2" customFormat="1" x14ac:dyDescent="0.3">
      <c r="A13" s="856"/>
      <c r="B13" s="844"/>
      <c r="C13" s="844"/>
      <c r="D13" s="844"/>
      <c r="E13" s="844"/>
      <c r="F13" s="844"/>
      <c r="G13" s="841"/>
      <c r="H13" s="850"/>
      <c r="I13" s="841"/>
      <c r="J13" s="841"/>
      <c r="K13" s="844"/>
      <c r="L13" s="844"/>
      <c r="M13" s="844"/>
      <c r="N13" s="853"/>
      <c r="O13" s="844"/>
      <c r="P13" s="844"/>
      <c r="Q13" s="841"/>
      <c r="R13" s="850"/>
      <c r="S13" s="844"/>
      <c r="T13" s="225">
        <v>45324</v>
      </c>
      <c r="U13" s="844"/>
      <c r="V13" s="219">
        <v>4356.22</v>
      </c>
      <c r="W13" s="225">
        <v>45338</v>
      </c>
      <c r="X13" s="220"/>
      <c r="Y13" s="219"/>
      <c r="Z13" s="219"/>
      <c r="AA13" s="844"/>
      <c r="AB13" s="841"/>
      <c r="AC13" s="847"/>
      <c r="AD13" s="2">
        <v>1</v>
      </c>
    </row>
    <row r="14" spans="1:33" s="2" customFormat="1" x14ac:dyDescent="0.3">
      <c r="A14" s="856"/>
      <c r="B14" s="844"/>
      <c r="C14" s="844"/>
      <c r="D14" s="844"/>
      <c r="E14" s="844"/>
      <c r="F14" s="844"/>
      <c r="G14" s="841"/>
      <c r="H14" s="850"/>
      <c r="I14" s="841"/>
      <c r="J14" s="841"/>
      <c r="K14" s="844"/>
      <c r="L14" s="844"/>
      <c r="M14" s="844"/>
      <c r="N14" s="853"/>
      <c r="O14" s="844"/>
      <c r="P14" s="844"/>
      <c r="Q14" s="841"/>
      <c r="R14" s="850"/>
      <c r="S14" s="844"/>
      <c r="T14" s="225">
        <v>45329</v>
      </c>
      <c r="U14" s="844"/>
      <c r="V14" s="219">
        <v>1292.55</v>
      </c>
      <c r="W14" s="225">
        <v>45338</v>
      </c>
      <c r="X14" s="220"/>
      <c r="Y14" s="219"/>
      <c r="Z14" s="219"/>
      <c r="AA14" s="844"/>
      <c r="AB14" s="841"/>
      <c r="AC14" s="847"/>
      <c r="AD14" s="2">
        <v>1</v>
      </c>
    </row>
    <row r="15" spans="1:33" s="2" customFormat="1" x14ac:dyDescent="0.3">
      <c r="A15" s="856"/>
      <c r="B15" s="844"/>
      <c r="C15" s="844"/>
      <c r="D15" s="844"/>
      <c r="E15" s="844"/>
      <c r="F15" s="844"/>
      <c r="G15" s="841"/>
      <c r="H15" s="850"/>
      <c r="I15" s="841"/>
      <c r="J15" s="841"/>
      <c r="K15" s="844"/>
      <c r="L15" s="844"/>
      <c r="M15" s="844"/>
      <c r="N15" s="853"/>
      <c r="O15" s="844"/>
      <c r="P15" s="844"/>
      <c r="Q15" s="841"/>
      <c r="R15" s="850"/>
      <c r="S15" s="844"/>
      <c r="T15" s="225">
        <v>45329</v>
      </c>
      <c r="U15" s="844"/>
      <c r="V15" s="219">
        <v>82.5</v>
      </c>
      <c r="W15" s="225">
        <v>45338</v>
      </c>
      <c r="X15" s="220"/>
      <c r="Y15" s="219"/>
      <c r="Z15" s="219"/>
      <c r="AA15" s="844"/>
      <c r="AB15" s="841"/>
      <c r="AC15" s="847"/>
      <c r="AD15" s="2">
        <v>1</v>
      </c>
    </row>
    <row r="16" spans="1:33" s="2" customFormat="1" x14ac:dyDescent="0.3">
      <c r="A16" s="856"/>
      <c r="B16" s="844"/>
      <c r="C16" s="844"/>
      <c r="D16" s="844"/>
      <c r="E16" s="844"/>
      <c r="F16" s="844"/>
      <c r="G16" s="841"/>
      <c r="H16" s="850"/>
      <c r="I16" s="841"/>
      <c r="J16" s="841"/>
      <c r="K16" s="844"/>
      <c r="L16" s="844"/>
      <c r="M16" s="844"/>
      <c r="N16" s="853"/>
      <c r="O16" s="844"/>
      <c r="P16" s="844"/>
      <c r="Q16" s="841"/>
      <c r="R16" s="850"/>
      <c r="S16" s="844"/>
      <c r="T16" s="225">
        <v>45317</v>
      </c>
      <c r="U16" s="844"/>
      <c r="V16" s="219">
        <v>79276.14</v>
      </c>
      <c r="W16" s="225">
        <v>45338</v>
      </c>
      <c r="X16" s="220"/>
      <c r="Y16" s="219"/>
      <c r="Z16" s="219"/>
      <c r="AA16" s="844"/>
      <c r="AB16" s="841"/>
      <c r="AC16" s="847"/>
      <c r="AD16" s="2">
        <v>1</v>
      </c>
    </row>
    <row r="17" spans="1:30" s="2" customFormat="1" x14ac:dyDescent="0.3">
      <c r="A17" s="856"/>
      <c r="B17" s="844"/>
      <c r="C17" s="844"/>
      <c r="D17" s="844"/>
      <c r="E17" s="844"/>
      <c r="F17" s="844"/>
      <c r="G17" s="841"/>
      <c r="H17" s="850"/>
      <c r="I17" s="841"/>
      <c r="J17" s="841"/>
      <c r="K17" s="844"/>
      <c r="L17" s="844"/>
      <c r="M17" s="844"/>
      <c r="N17" s="853"/>
      <c r="O17" s="844"/>
      <c r="P17" s="844"/>
      <c r="Q17" s="841"/>
      <c r="R17" s="850"/>
      <c r="S17" s="844"/>
      <c r="T17" s="225">
        <v>45317</v>
      </c>
      <c r="U17" s="844"/>
      <c r="V17" s="219">
        <v>5060.26</v>
      </c>
      <c r="W17" s="225">
        <v>45338</v>
      </c>
      <c r="X17" s="220"/>
      <c r="Y17" s="219"/>
      <c r="Z17" s="219"/>
      <c r="AA17" s="844"/>
      <c r="AB17" s="841"/>
      <c r="AC17" s="847"/>
      <c r="AD17" s="2">
        <v>1</v>
      </c>
    </row>
    <row r="18" spans="1:30" s="2" customFormat="1" x14ac:dyDescent="0.3">
      <c r="A18" s="856"/>
      <c r="B18" s="844"/>
      <c r="C18" s="844"/>
      <c r="D18" s="844"/>
      <c r="E18" s="844"/>
      <c r="F18" s="844"/>
      <c r="G18" s="841"/>
      <c r="H18" s="850"/>
      <c r="I18" s="841"/>
      <c r="J18" s="841"/>
      <c r="K18" s="844"/>
      <c r="L18" s="844"/>
      <c r="M18" s="844"/>
      <c r="N18" s="853"/>
      <c r="O18" s="844"/>
      <c r="P18" s="844"/>
      <c r="Q18" s="841"/>
      <c r="R18" s="850"/>
      <c r="S18" s="844"/>
      <c r="T18" s="225">
        <v>45343</v>
      </c>
      <c r="U18" s="844"/>
      <c r="V18" s="219">
        <v>32730</v>
      </c>
      <c r="W18" s="225">
        <v>45348</v>
      </c>
      <c r="X18" s="220"/>
      <c r="Y18" s="219"/>
      <c r="Z18" s="219"/>
      <c r="AA18" s="844"/>
      <c r="AB18" s="841"/>
      <c r="AC18" s="847"/>
      <c r="AD18" s="2">
        <v>1</v>
      </c>
    </row>
    <row r="19" spans="1:30" s="2" customFormat="1" x14ac:dyDescent="0.3">
      <c r="A19" s="856"/>
      <c r="B19" s="844"/>
      <c r="C19" s="844"/>
      <c r="D19" s="844"/>
      <c r="E19" s="844"/>
      <c r="F19" s="844"/>
      <c r="G19" s="841"/>
      <c r="H19" s="850"/>
      <c r="I19" s="841"/>
      <c r="J19" s="841"/>
      <c r="K19" s="844"/>
      <c r="L19" s="844"/>
      <c r="M19" s="844"/>
      <c r="N19" s="853"/>
      <c r="O19" s="844"/>
      <c r="P19" s="844"/>
      <c r="Q19" s="841"/>
      <c r="R19" s="850"/>
      <c r="S19" s="844"/>
      <c r="T19" s="225">
        <v>45343</v>
      </c>
      <c r="U19" s="844"/>
      <c r="V19" s="219">
        <v>94011.16</v>
      </c>
      <c r="W19" s="225">
        <v>45348</v>
      </c>
      <c r="X19" s="220"/>
      <c r="Y19" s="219"/>
      <c r="Z19" s="219"/>
      <c r="AA19" s="844"/>
      <c r="AB19" s="841"/>
      <c r="AC19" s="847"/>
      <c r="AD19" s="2">
        <v>1</v>
      </c>
    </row>
    <row r="20" spans="1:30" s="2" customFormat="1" x14ac:dyDescent="0.3">
      <c r="A20" s="856"/>
      <c r="B20" s="844"/>
      <c r="C20" s="844"/>
      <c r="D20" s="844"/>
      <c r="E20" s="844"/>
      <c r="F20" s="844"/>
      <c r="G20" s="841"/>
      <c r="H20" s="850"/>
      <c r="I20" s="841"/>
      <c r="J20" s="841"/>
      <c r="K20" s="844"/>
      <c r="L20" s="844"/>
      <c r="M20" s="844"/>
      <c r="N20" s="853"/>
      <c r="O20" s="844"/>
      <c r="P20" s="844"/>
      <c r="Q20" s="841"/>
      <c r="R20" s="850"/>
      <c r="S20" s="844"/>
      <c r="T20" s="225">
        <v>45343</v>
      </c>
      <c r="U20" s="844"/>
      <c r="V20" s="219">
        <v>6000.81</v>
      </c>
      <c r="W20" s="225">
        <v>45348</v>
      </c>
      <c r="X20" s="220"/>
      <c r="Y20" s="219"/>
      <c r="Z20" s="219"/>
      <c r="AA20" s="844"/>
      <c r="AB20" s="841"/>
      <c r="AC20" s="847"/>
      <c r="AD20" s="2">
        <v>1</v>
      </c>
    </row>
    <row r="21" spans="1:30" s="2" customFormat="1" x14ac:dyDescent="0.3">
      <c r="A21" s="856"/>
      <c r="B21" s="844"/>
      <c r="C21" s="844"/>
      <c r="D21" s="844"/>
      <c r="E21" s="844"/>
      <c r="F21" s="844"/>
      <c r="G21" s="841"/>
      <c r="H21" s="850"/>
      <c r="I21" s="841"/>
      <c r="J21" s="841"/>
      <c r="K21" s="844"/>
      <c r="L21" s="844"/>
      <c r="M21" s="844"/>
      <c r="N21" s="853"/>
      <c r="O21" s="844"/>
      <c r="P21" s="844"/>
      <c r="Q21" s="841"/>
      <c r="R21" s="850"/>
      <c r="S21" s="844"/>
      <c r="T21" s="225">
        <v>45358</v>
      </c>
      <c r="U21" s="844"/>
      <c r="V21" s="219">
        <v>74967.66</v>
      </c>
      <c r="W21" s="225">
        <v>45371</v>
      </c>
      <c r="X21" s="220"/>
      <c r="Y21" s="219"/>
      <c r="Z21" s="219"/>
      <c r="AA21" s="844"/>
      <c r="AB21" s="841"/>
      <c r="AC21" s="847"/>
      <c r="AD21" s="2">
        <v>1</v>
      </c>
    </row>
    <row r="22" spans="1:30" s="2" customFormat="1" x14ac:dyDescent="0.3">
      <c r="A22" s="856"/>
      <c r="B22" s="844"/>
      <c r="C22" s="844"/>
      <c r="D22" s="844"/>
      <c r="E22" s="844"/>
      <c r="F22" s="844"/>
      <c r="G22" s="841"/>
      <c r="H22" s="850"/>
      <c r="I22" s="841"/>
      <c r="J22" s="841"/>
      <c r="K22" s="844"/>
      <c r="L22" s="844"/>
      <c r="M22" s="844"/>
      <c r="N22" s="853"/>
      <c r="O22" s="844"/>
      <c r="P22" s="844"/>
      <c r="Q22" s="841"/>
      <c r="R22" s="850"/>
      <c r="S22" s="844"/>
      <c r="T22" s="225">
        <v>45358</v>
      </c>
      <c r="U22" s="844"/>
      <c r="V22" s="219">
        <v>4785.24</v>
      </c>
      <c r="W22" s="225">
        <v>45371</v>
      </c>
      <c r="X22" s="220"/>
      <c r="Y22" s="219"/>
      <c r="Z22" s="219"/>
      <c r="AA22" s="844"/>
      <c r="AB22" s="841"/>
      <c r="AC22" s="847"/>
      <c r="AD22" s="2">
        <v>1</v>
      </c>
    </row>
    <row r="23" spans="1:30" s="2" customFormat="1" x14ac:dyDescent="0.3">
      <c r="A23" s="856"/>
      <c r="B23" s="844"/>
      <c r="C23" s="844"/>
      <c r="D23" s="844"/>
      <c r="E23" s="844"/>
      <c r="F23" s="844"/>
      <c r="G23" s="841"/>
      <c r="H23" s="850"/>
      <c r="I23" s="841"/>
      <c r="J23" s="841"/>
      <c r="K23" s="844"/>
      <c r="L23" s="844"/>
      <c r="M23" s="844"/>
      <c r="N23" s="853"/>
      <c r="O23" s="844"/>
      <c r="P23" s="844"/>
      <c r="Q23" s="841"/>
      <c r="R23" s="850"/>
      <c r="S23" s="844"/>
      <c r="T23" s="225">
        <v>45358</v>
      </c>
      <c r="U23" s="844"/>
      <c r="V23" s="219">
        <v>26100</v>
      </c>
      <c r="W23" s="225">
        <v>45371</v>
      </c>
      <c r="X23" s="220"/>
      <c r="Y23" s="219"/>
      <c r="Z23" s="219"/>
      <c r="AA23" s="844"/>
      <c r="AB23" s="841"/>
      <c r="AC23" s="847"/>
      <c r="AD23" s="2">
        <v>1</v>
      </c>
    </row>
    <row r="24" spans="1:30" s="2" customFormat="1" x14ac:dyDescent="0.3">
      <c r="A24" s="856"/>
      <c r="B24" s="844"/>
      <c r="C24" s="844"/>
      <c r="D24" s="844"/>
      <c r="E24" s="844"/>
      <c r="F24" s="844"/>
      <c r="G24" s="841"/>
      <c r="H24" s="850"/>
      <c r="I24" s="841"/>
      <c r="J24" s="841"/>
      <c r="K24" s="844"/>
      <c r="L24" s="844"/>
      <c r="M24" s="844"/>
      <c r="N24" s="853"/>
      <c r="O24" s="844"/>
      <c r="P24" s="844"/>
      <c r="Q24" s="841"/>
      <c r="R24" s="850"/>
      <c r="S24" s="844"/>
      <c r="T24" s="225">
        <v>45371</v>
      </c>
      <c r="U24" s="844"/>
      <c r="V24" s="219">
        <v>96251.58</v>
      </c>
      <c r="W24" s="225">
        <v>45379</v>
      </c>
      <c r="X24" s="220"/>
      <c r="Y24" s="219"/>
      <c r="Z24" s="219"/>
      <c r="AA24" s="844"/>
      <c r="AB24" s="841"/>
      <c r="AC24" s="847"/>
      <c r="AD24" s="2">
        <v>1</v>
      </c>
    </row>
    <row r="25" spans="1:30" s="2" customFormat="1" x14ac:dyDescent="0.3">
      <c r="A25" s="856"/>
      <c r="B25" s="844"/>
      <c r="C25" s="844"/>
      <c r="D25" s="844"/>
      <c r="E25" s="844"/>
      <c r="F25" s="844"/>
      <c r="G25" s="841"/>
      <c r="H25" s="850"/>
      <c r="I25" s="841"/>
      <c r="J25" s="841"/>
      <c r="K25" s="844"/>
      <c r="L25" s="844"/>
      <c r="M25" s="844"/>
      <c r="N25" s="853"/>
      <c r="O25" s="844"/>
      <c r="P25" s="844"/>
      <c r="Q25" s="841"/>
      <c r="R25" s="850"/>
      <c r="S25" s="844"/>
      <c r="T25" s="225">
        <v>45371</v>
      </c>
      <c r="U25" s="844"/>
      <c r="V25" s="219">
        <v>6143.81</v>
      </c>
      <c r="W25" s="225">
        <v>45379</v>
      </c>
      <c r="X25" s="220"/>
      <c r="Y25" s="219"/>
      <c r="Z25" s="219"/>
      <c r="AA25" s="844"/>
      <c r="AB25" s="841"/>
      <c r="AC25" s="847"/>
      <c r="AD25" s="2">
        <v>1</v>
      </c>
    </row>
    <row r="26" spans="1:30" s="2" customFormat="1" x14ac:dyDescent="0.3">
      <c r="A26" s="856"/>
      <c r="B26" s="844"/>
      <c r="C26" s="844"/>
      <c r="D26" s="844"/>
      <c r="E26" s="844"/>
      <c r="F26" s="844"/>
      <c r="G26" s="841"/>
      <c r="H26" s="850"/>
      <c r="I26" s="841"/>
      <c r="J26" s="841"/>
      <c r="K26" s="844"/>
      <c r="L26" s="844"/>
      <c r="M26" s="844"/>
      <c r="N26" s="853"/>
      <c r="O26" s="844"/>
      <c r="P26" s="844"/>
      <c r="Q26" s="841"/>
      <c r="R26" s="850"/>
      <c r="S26" s="844"/>
      <c r="T26" s="225">
        <v>45371</v>
      </c>
      <c r="U26" s="844"/>
      <c r="V26" s="219">
        <v>33510</v>
      </c>
      <c r="W26" s="225">
        <v>45379</v>
      </c>
      <c r="X26" s="220"/>
      <c r="Y26" s="219"/>
      <c r="Z26" s="219"/>
      <c r="AA26" s="844"/>
      <c r="AB26" s="841"/>
      <c r="AC26" s="847"/>
      <c r="AD26" s="2">
        <v>1</v>
      </c>
    </row>
    <row r="27" spans="1:30" s="2" customFormat="1" x14ac:dyDescent="0.3">
      <c r="A27" s="856"/>
      <c r="B27" s="844"/>
      <c r="C27" s="844"/>
      <c r="D27" s="844"/>
      <c r="E27" s="844"/>
      <c r="F27" s="844"/>
      <c r="G27" s="841"/>
      <c r="H27" s="850"/>
      <c r="I27" s="841"/>
      <c r="J27" s="841"/>
      <c r="K27" s="844"/>
      <c r="L27" s="844"/>
      <c r="M27" s="844"/>
      <c r="N27" s="853"/>
      <c r="O27" s="844"/>
      <c r="P27" s="844"/>
      <c r="Q27" s="841"/>
      <c r="R27" s="850"/>
      <c r="S27" s="844"/>
      <c r="T27" s="225">
        <v>45379</v>
      </c>
      <c r="U27" s="844"/>
      <c r="V27" s="219">
        <v>17430</v>
      </c>
      <c r="W27" s="225">
        <v>45387</v>
      </c>
      <c r="X27" s="220"/>
      <c r="Y27" s="219"/>
      <c r="Z27" s="219"/>
      <c r="AA27" s="844"/>
      <c r="AB27" s="841"/>
      <c r="AC27" s="847"/>
      <c r="AD27" s="2">
        <v>1</v>
      </c>
    </row>
    <row r="28" spans="1:30" s="2" customFormat="1" x14ac:dyDescent="0.3">
      <c r="A28" s="856"/>
      <c r="B28" s="844"/>
      <c r="C28" s="844"/>
      <c r="D28" s="844"/>
      <c r="E28" s="844"/>
      <c r="F28" s="844"/>
      <c r="G28" s="841"/>
      <c r="H28" s="850"/>
      <c r="I28" s="841"/>
      <c r="J28" s="841"/>
      <c r="K28" s="844"/>
      <c r="L28" s="844"/>
      <c r="M28" s="844"/>
      <c r="N28" s="853"/>
      <c r="O28" s="844"/>
      <c r="P28" s="844"/>
      <c r="Q28" s="841"/>
      <c r="R28" s="850"/>
      <c r="S28" s="844"/>
      <c r="T28" s="225">
        <v>45379</v>
      </c>
      <c r="U28" s="844"/>
      <c r="V28" s="219">
        <v>50064.61</v>
      </c>
      <c r="W28" s="225">
        <v>45387</v>
      </c>
      <c r="X28" s="220"/>
      <c r="Y28" s="219"/>
      <c r="Z28" s="219"/>
      <c r="AA28" s="844"/>
      <c r="AB28" s="841"/>
      <c r="AC28" s="847"/>
      <c r="AD28" s="2">
        <v>1</v>
      </c>
    </row>
    <row r="29" spans="1:30" s="2" customFormat="1" x14ac:dyDescent="0.3">
      <c r="A29" s="856"/>
      <c r="B29" s="844"/>
      <c r="C29" s="844"/>
      <c r="D29" s="844"/>
      <c r="E29" s="844"/>
      <c r="F29" s="844"/>
      <c r="G29" s="841"/>
      <c r="H29" s="850"/>
      <c r="I29" s="841"/>
      <c r="J29" s="841"/>
      <c r="K29" s="844"/>
      <c r="L29" s="844"/>
      <c r="M29" s="844"/>
      <c r="N29" s="853"/>
      <c r="O29" s="844"/>
      <c r="P29" s="844"/>
      <c r="Q29" s="841"/>
      <c r="R29" s="850"/>
      <c r="S29" s="844"/>
      <c r="T29" s="225">
        <v>45379</v>
      </c>
      <c r="U29" s="844"/>
      <c r="V29" s="219">
        <v>3195.66</v>
      </c>
      <c r="W29" s="225">
        <v>45387</v>
      </c>
      <c r="X29" s="220"/>
      <c r="Y29" s="219"/>
      <c r="Z29" s="219"/>
      <c r="AA29" s="844"/>
      <c r="AB29" s="841"/>
      <c r="AC29" s="847"/>
      <c r="AD29" s="2">
        <v>1</v>
      </c>
    </row>
    <row r="30" spans="1:30" s="2" customFormat="1" x14ac:dyDescent="0.3">
      <c r="A30" s="857"/>
      <c r="B30" s="845"/>
      <c r="C30" s="845"/>
      <c r="D30" s="845"/>
      <c r="E30" s="845"/>
      <c r="F30" s="845"/>
      <c r="G30" s="842"/>
      <c r="H30" s="851"/>
      <c r="I30" s="842"/>
      <c r="J30" s="842"/>
      <c r="K30" s="845"/>
      <c r="L30" s="845"/>
      <c r="M30" s="845"/>
      <c r="N30" s="854"/>
      <c r="O30" s="845"/>
      <c r="P30" s="845"/>
      <c r="Q30" s="842"/>
      <c r="R30" s="851"/>
      <c r="S30" s="845"/>
      <c r="T30" s="226"/>
      <c r="U30" s="845"/>
      <c r="V30" s="221"/>
      <c r="W30" s="226"/>
      <c r="X30" s="222"/>
      <c r="Y30" s="221"/>
      <c r="Z30" s="221"/>
      <c r="AA30" s="845"/>
      <c r="AB30" s="842"/>
      <c r="AC30" s="848"/>
      <c r="AD30" s="2">
        <v>1</v>
      </c>
    </row>
    <row r="31" spans="1:30" s="107" customFormat="1" ht="144" x14ac:dyDescent="0.3">
      <c r="A31" s="386">
        <v>2</v>
      </c>
      <c r="B31" s="396" t="s">
        <v>56</v>
      </c>
      <c r="C31" s="396" t="s">
        <v>390</v>
      </c>
      <c r="D31" s="396" t="s">
        <v>147</v>
      </c>
      <c r="E31" s="396" t="s">
        <v>391</v>
      </c>
      <c r="F31" s="396" t="s">
        <v>392</v>
      </c>
      <c r="G31" s="388">
        <v>211200</v>
      </c>
      <c r="H31" s="389">
        <f>IF(AD31 = 2, G31 - Q31,0)</f>
        <v>0</v>
      </c>
      <c r="I31" s="388">
        <v>1</v>
      </c>
      <c r="J31" s="388"/>
      <c r="K31" s="396" t="s">
        <v>163</v>
      </c>
      <c r="L31" s="396" t="s">
        <v>393</v>
      </c>
      <c r="M31" s="396" t="s">
        <v>394</v>
      </c>
      <c r="N31" s="398">
        <v>45566</v>
      </c>
      <c r="O31" s="396" t="s">
        <v>395</v>
      </c>
      <c r="P31" s="396" t="s">
        <v>379</v>
      </c>
      <c r="Q31" s="388">
        <v>211200</v>
      </c>
      <c r="R31" s="389">
        <f>IF(AD31 = 2, Q31 + SUM(Y31:Y31) - SUM(Z31:Z31) - SUM(V31:V31) - AB31,0)</f>
        <v>150720</v>
      </c>
      <c r="S31" s="396"/>
      <c r="T31" s="398">
        <v>45561</v>
      </c>
      <c r="U31" s="396" t="s">
        <v>165</v>
      </c>
      <c r="V31" s="388">
        <v>60480</v>
      </c>
      <c r="W31" s="398">
        <v>45569</v>
      </c>
      <c r="X31" s="396"/>
      <c r="Y31" s="388"/>
      <c r="Z31" s="388"/>
      <c r="AA31" s="396"/>
      <c r="AB31" s="388"/>
      <c r="AC31" s="393"/>
      <c r="AD31" s="107">
        <v>2</v>
      </c>
    </row>
    <row r="32" spans="1:30" x14ac:dyDescent="0.3">
      <c r="A32" s="14"/>
      <c r="B32" s="14"/>
      <c r="C32" s="14"/>
      <c r="D32" s="14"/>
      <c r="E32" s="14"/>
      <c r="F32" s="14"/>
      <c r="G32" s="15"/>
      <c r="H32" s="16"/>
      <c r="I32" s="105"/>
      <c r="J32" s="105"/>
      <c r="K32" s="14"/>
      <c r="L32" s="14"/>
      <c r="M32" s="14"/>
      <c r="N32" s="29"/>
      <c r="O32" s="14"/>
      <c r="P32" s="14"/>
      <c r="Q32" s="15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8">
        <v>3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A9:A30"/>
    <mergeCell ref="U9:U30"/>
    <mergeCell ref="AA9:AA30"/>
    <mergeCell ref="B9:B30"/>
    <mergeCell ref="P9:P30"/>
    <mergeCell ref="Q9:Q30"/>
    <mergeCell ref="R9:R30"/>
    <mergeCell ref="AB9:AB30"/>
    <mergeCell ref="C9:C30"/>
    <mergeCell ref="S9:S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  <mergeCell ref="O9:O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36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709" t="s">
        <v>139</v>
      </c>
      <c r="F2" s="710"/>
      <c r="G2" s="100">
        <f>SUM(G9:G9999)</f>
        <v>0</v>
      </c>
      <c r="H2" s="15"/>
      <c r="O2" s="709" t="s">
        <v>24</v>
      </c>
      <c r="P2" s="710"/>
      <c r="Q2" s="98">
        <f>SUM(Q9:Q9999)</f>
        <v>0</v>
      </c>
      <c r="T2" s="565" t="s">
        <v>137</v>
      </c>
      <c r="U2" s="567"/>
      <c r="V2" s="87">
        <f>SUM(V9:V9999)</f>
        <v>0</v>
      </c>
      <c r="X2" s="86"/>
      <c r="Y2" s="565" t="s">
        <v>45</v>
      </c>
      <c r="Z2" s="566"/>
      <c r="AA2" s="567"/>
      <c r="AB2" s="88">
        <f>SUM(AB9:AB9999)</f>
        <v>0</v>
      </c>
    </row>
    <row r="4" spans="1:33" ht="39.9" customHeight="1" x14ac:dyDescent="0.3">
      <c r="P4" s="858"/>
      <c r="Q4" s="858"/>
      <c r="R4" s="858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89</v>
      </c>
      <c r="B1" s="65">
        <v>48</v>
      </c>
      <c r="C1" s="65">
        <v>9</v>
      </c>
      <c r="D1" s="861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862"/>
      <c r="E2" s="48"/>
      <c r="F2" s="80">
        <v>73</v>
      </c>
      <c r="G2" s="84">
        <v>61</v>
      </c>
      <c r="H2" s="83">
        <v>2</v>
      </c>
      <c r="I2" s="82">
        <v>3</v>
      </c>
      <c r="J2" s="81">
        <v>2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234</v>
      </c>
      <c r="B4" s="62">
        <v>44</v>
      </c>
      <c r="C4" s="62">
        <v>9</v>
      </c>
      <c r="D4" s="863" t="s">
        <v>102</v>
      </c>
      <c r="E4" s="48"/>
      <c r="F4" s="80">
        <v>74</v>
      </c>
      <c r="G4" s="84">
        <v>62</v>
      </c>
      <c r="H4" s="83">
        <v>3</v>
      </c>
      <c r="I4" s="82">
        <v>4</v>
      </c>
      <c r="J4" s="81">
        <v>3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864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14</v>
      </c>
      <c r="B7" s="64">
        <v>2</v>
      </c>
      <c r="C7" s="64">
        <v>9</v>
      </c>
      <c r="D7" s="865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866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26</v>
      </c>
      <c r="B10" s="60">
        <v>3</v>
      </c>
      <c r="C10" s="60">
        <v>9</v>
      </c>
      <c r="D10" s="867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868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31</v>
      </c>
      <c r="B13" s="58">
        <v>2</v>
      </c>
      <c r="C13" s="58">
        <v>9</v>
      </c>
      <c r="D13" s="869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870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859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860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2024-11-11T08:05:34Z</dcterms:modified>
</cp:coreProperties>
</file>