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workbookProtection workbookPassword="EB34" lockStructure="1"/>
  <bookViews>
    <workbookView xWindow="0" yWindow="0" windowWidth="23040" windowHeight="8616" tabRatio="603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9" i="20" l="1"/>
  <c r="R9" i="20"/>
  <c r="G2" i="20"/>
  <c r="Q2" i="20"/>
  <c r="V2" i="20"/>
  <c r="AB2" i="20"/>
  <c r="G2" i="22"/>
  <c r="Q2" i="22"/>
  <c r="V2" i="22"/>
  <c r="AB2" i="22"/>
  <c r="G2" i="17"/>
  <c r="Q2" i="17"/>
  <c r="V2" i="17"/>
  <c r="AB2" i="17"/>
  <c r="I70" i="27"/>
  <c r="I88" i="27"/>
  <c r="H2" i="27"/>
  <c r="P2" i="27"/>
  <c r="V2" i="27"/>
  <c r="I115" i="31"/>
  <c r="I36" i="31"/>
  <c r="I12" i="31"/>
  <c r="H2" i="31"/>
  <c r="P2" i="31"/>
  <c r="V2" i="31"/>
  <c r="I43" i="27"/>
  <c r="I40" i="27"/>
  <c r="I25" i="27"/>
  <c r="I34" i="27"/>
  <c r="I19" i="27"/>
  <c r="H9" i="17"/>
  <c r="R9" i="17"/>
  <c r="G2" i="19"/>
  <c r="N2" i="19"/>
  <c r="T2" i="19"/>
  <c r="I19" i="31"/>
  <c r="I96" i="27" l="1"/>
  <c r="I95" i="27"/>
  <c r="I94" i="27"/>
  <c r="I129" i="31"/>
  <c r="I93" i="27" l="1"/>
  <c r="I92" i="27"/>
  <c r="I91" i="27" l="1"/>
  <c r="I126" i="31"/>
  <c r="I84" i="27"/>
  <c r="I58" i="31"/>
  <c r="I120" i="31"/>
  <c r="I122" i="31"/>
  <c r="H9" i="22"/>
  <c r="R9" i="22"/>
  <c r="H17" i="19" l="1"/>
  <c r="H16" i="19"/>
  <c r="I128" i="31"/>
  <c r="I90" i="27"/>
  <c r="I87" i="27"/>
  <c r="I86" i="27" l="1"/>
  <c r="I83" i="27"/>
  <c r="I125" i="31"/>
  <c r="I124" i="31"/>
  <c r="I82" i="27" l="1"/>
  <c r="I81" i="27"/>
  <c r="I80" i="27"/>
  <c r="I119" i="31"/>
  <c r="I79" i="31"/>
  <c r="I11" i="27"/>
  <c r="I109" i="31" l="1"/>
  <c r="I9" i="31"/>
  <c r="I92" i="31"/>
  <c r="I75" i="31"/>
  <c r="I72" i="31"/>
  <c r="I104" i="31"/>
  <c r="I31" i="27"/>
  <c r="H9" i="19"/>
  <c r="I66" i="27"/>
  <c r="I68" i="31"/>
  <c r="I118" i="31" l="1"/>
  <c r="I79" i="27"/>
  <c r="I78" i="27"/>
  <c r="I77" i="27"/>
  <c r="I114" i="31"/>
  <c r="I113" i="31"/>
  <c r="I112" i="31"/>
  <c r="I76" i="27"/>
  <c r="I75" i="27"/>
  <c r="I111" i="31"/>
  <c r="I74" i="27"/>
  <c r="I73" i="27"/>
  <c r="I108" i="31" l="1"/>
  <c r="I107" i="31"/>
  <c r="I68" i="27"/>
  <c r="I65" i="27"/>
  <c r="I101" i="31"/>
  <c r="I98" i="31"/>
  <c r="I64" i="27"/>
  <c r="I91" i="31" l="1"/>
  <c r="I63" i="27"/>
  <c r="I62" i="27"/>
  <c r="I61" i="27"/>
  <c r="I42" i="27"/>
  <c r="I57" i="31"/>
  <c r="I52" i="31"/>
  <c r="I42" i="31"/>
  <c r="I15" i="27" l="1"/>
  <c r="I9" i="27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<sst xmlns="http://schemas.openxmlformats.org/spreadsheetml/2006/main" count="1091" uniqueCount="359">
  <si>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</si>
  <si>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</si>
  <si>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</si>
  <si>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</si>
  <si>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</si>
  <si>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</si>
  <si>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</si>
  <si>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</si>
  <si>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</si>
  <si>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</si>
  <si>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</si>
  <si>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</si>
  <si>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</si>
  <si>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</si>
  <si>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</si>
  <si>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</si>
  <si>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</si>
  <si>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</si>
  <si>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</si>
  <si>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</si>
  <si>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</si>
  <si>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</si>
  <si>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</si>
  <si>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</si>
  <si>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</si>
  <si>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</si>
  <si>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</si>
  <si>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</si>
  <si>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</si>
  <si>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</si>
  <si>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</si>
  <si>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</si>
  <si>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</si>
  <si>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</si>
  <si>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</si>
  <si>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</si>
  <si>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</si>
  <si>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</si>
  <si>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</si>
  <si>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</si>
  <si>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</si>
  <si>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</si>
  <si>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</si>
  <si>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</si>
  <si>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</si>
  <si>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</si>
  <si>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</si>
  <si>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</si>
  <si>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</si>
  <si>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</si>
  <si>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</si>
  <si>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</si>
  <si>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</si>
  <si>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</si>
  <si>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</si>
  <si>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</si>
  <si>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</si>
  <si>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</si>
  <si>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</si>
  <si>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</si>
  <si>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</si>
  <si>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</si>
  <si>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</si>
  <si>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</si>
  <si>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</si>
  <si>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</si>
  <si>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</si>
  <si>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</si>
  <si>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</si>
  <si>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</si>
  <si>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</si>
  <si>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</si>
  <si>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</si>
  <si>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</si>
  <si>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</si>
  <si>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</si>
  <si>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</si>
  <si>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</si>
  <si>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</si>
  <si>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</si>
  <si>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</si>
  <si>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</si>
  <si>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</si>
  <si>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</si>
  <si>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</si>
  <si>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</si>
  <si>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</si>
  <si>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</si>
  <si>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</si>
  <si>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</si>
  <si>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</si>
  <si>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</si>
  <si>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</si>
  <si>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</si>
  <si>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</si>
  <si>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</si>
  <si>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</si>
  <si>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</si>
  <si>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</si>
  <si>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</si>
  <si>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</si>
  <si>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</si>
  <si>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</si>
  <si>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</si>
  <si>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</si>
  <si>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</si>
  <si>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</si>
  <si>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</si>
  <si>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</si>
  <si>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</si>
  <si>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</si>
  <si>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</si>
  <si>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</si>
  <si>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</si>
  <si>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</si>
  <si>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</si>
  <si>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</si>
  <si>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</si>
  <si>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</si>
  <si>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</si>
  <si>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</si>
  <si>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</si>
  <si>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</si>
  <si>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</si>
  <si>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</si>
  <si>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</si>
  <si>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</si>
  <si>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</si>
  <si>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</si>
  <si>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</si>
  <si>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</si>
  <si>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</si>
  <si>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</si>
  <si>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</si>
  <si>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</si>
  <si>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</si>
  <si>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</si>
  <si>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</si>
  <si>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</si>
  <si>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</si>
  <si>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</si>
  <si>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</si>
  <si>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</si>
  <si>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</si>
  <si>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</si>
  <si>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</si>
  <si>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</si>
  <si>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</si>
  <si>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охранных услуг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</si>
  <si>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</si>
  <si>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</si>
  <si>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</si>
  <si>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</si>
  <si>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</si>
  <si>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</si>
  <si>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</si>
  <si>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</si>
  <si>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</si>
  <si>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</si>
  <si>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Дератизационные работы</t>
  </si>
  <si>
    <t>2353018870</t>
  </si>
  <si>
    <t>ООО "Дезинфекция"</t>
  </si>
  <si>
    <t>по мере необходимости</t>
  </si>
  <si>
    <t>Работы по сервисному обслуживанию УУТЭ</t>
  </si>
  <si>
    <t>235301271520</t>
  </si>
  <si>
    <t>ИП Дудкин</t>
  </si>
  <si>
    <t>согласно приложения 1</t>
  </si>
  <si>
    <t>235305769122</t>
  </si>
  <si>
    <t>ИП Барма</t>
  </si>
  <si>
    <t>ПАО "Ростелеком"</t>
  </si>
  <si>
    <t>ООО "Альянс Розница"</t>
  </si>
  <si>
    <t>ООО "Сигнал"</t>
  </si>
  <si>
    <t>2353002302</t>
  </si>
  <si>
    <t>№ 39-С</t>
  </si>
  <si>
    <t>ТО установки системы пожарного мониторинга "Стрелец-мониторинг"</t>
  </si>
  <si>
    <t>согласно графика</t>
  </si>
  <si>
    <t>МБОУ СОШ №6</t>
  </si>
  <si>
    <t>ООО ЧОО "Легион"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</si>
  <si>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</si>
  <si>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</si>
  <si>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</si>
  <si>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</si>
  <si>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</si>
  <si>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В течение 1 квартала 2023 г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</si>
  <si>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</si>
  <si>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</si>
  <si>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</si>
  <si>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</si>
  <si>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</si>
  <si>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Оказание услуг по организации горячего питания обучающихся по образовательным программам начального общего образования в МБОУ СОШ № 6 (1-4 классы)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</si>
  <si>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</si>
  <si>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</si>
  <si>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</si>
  <si>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</si>
  <si>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</si>
  <si>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</si>
  <si>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Ремонт автобуса</t>
  </si>
  <si>
    <t>ИП Аполонов</t>
  </si>
  <si>
    <t>Оказание услуг по организации питания учащихся (6-10 р)</t>
  </si>
  <si>
    <t>925  0000 0000000000 244</t>
  </si>
  <si>
    <t>оказание услуг по организации питания инвалидов</t>
  </si>
  <si>
    <t>оказание услуг по организации питания детей с ОВЗ</t>
  </si>
  <si>
    <t>оказание услуг по организации горячегопитания детей с овз</t>
  </si>
  <si>
    <t>Оказание услуг связи</t>
  </si>
  <si>
    <t>7707049388</t>
  </si>
  <si>
    <t>166-Б2</t>
  </si>
  <si>
    <t>То автоматических установок пожарной сигнализации</t>
  </si>
  <si>
    <t>2369000660</t>
  </si>
  <si>
    <t>Техническое обслуживание ГЛОНАСС</t>
  </si>
  <si>
    <t>ДГ-23/82</t>
  </si>
  <si>
    <t>ремонт морозильной камеры</t>
  </si>
  <si>
    <t>235300206670</t>
  </si>
  <si>
    <t>ИП Логинов</t>
  </si>
  <si>
    <t>Оказание услуг предрейсового и послерейсового медицинского и технического контроля, стоянка транспортного контроля, ТО-1, ТО-2.</t>
  </si>
  <si>
    <t>50/23</t>
  </si>
  <si>
    <t>Образовательные услуги</t>
  </si>
  <si>
    <t>6140004535</t>
  </si>
  <si>
    <t>ООО "Учитель-инфо"</t>
  </si>
  <si>
    <t>Проведение оценки</t>
  </si>
  <si>
    <t>2335015365</t>
  </si>
  <si>
    <t>СОЮЗ "ТПП"</t>
  </si>
  <si>
    <t>ООО "ВторИнвестЮг"</t>
  </si>
  <si>
    <t>6162076156</t>
  </si>
  <si>
    <t>Оценка техсостояния работоспособности техники</t>
  </si>
  <si>
    <t>поставка товара</t>
  </si>
  <si>
    <t>ИП Латышев</t>
  </si>
  <si>
    <t>223235301409723530100100130018010244</t>
  </si>
  <si>
    <t>0818300019922000336001</t>
  </si>
  <si>
    <t>0818300019922000336</t>
  </si>
  <si>
    <t>22.85</t>
  </si>
  <si>
    <t>13/23</t>
  </si>
  <si>
    <t>обучение</t>
  </si>
  <si>
    <t>2327014502</t>
  </si>
  <si>
    <t>ООО "БОЦ"</t>
  </si>
  <si>
    <t>оказание услуг по организации питания обучающихся 1-4 классы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</si>
  <si>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</si>
  <si>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1-4 классы услуга по приготовлению</t>
  </si>
  <si>
    <t>оказание услуг по организации питания детей мобилизованных</t>
  </si>
  <si>
    <t>утилизация</t>
  </si>
  <si>
    <t>1/2023/19</t>
  </si>
  <si>
    <t>экскурсия</t>
  </si>
  <si>
    <t>2310052884</t>
  </si>
  <si>
    <t>ГБУК КК "КГИАМЗ им. Е.Д. Фелицына"</t>
  </si>
  <si>
    <t>30 % предоплата, окончательный расчет в течение 5 рабочих дней</t>
  </si>
  <si>
    <t>Панель светодиодная, лампочки</t>
  </si>
  <si>
    <t>235307112879</t>
  </si>
  <si>
    <t>ИП Деревянко</t>
  </si>
  <si>
    <t>37</t>
  </si>
  <si>
    <t>Хозтовары</t>
  </si>
  <si>
    <t>Дез средства</t>
  </si>
  <si>
    <t>233235301409723530100100100018020244</t>
  </si>
  <si>
    <t>0818300019923000058</t>
  </si>
  <si>
    <t xml:space="preserve">Оказание услуг по техническому обслуживанию объектовой станции системы пожарного мониторинга ПАК "Стрелец-мониторинг" 
</t>
  </si>
  <si>
    <t>0818300019923000058001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</si>
  <si>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</si>
  <si>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КС1/388-23</t>
  </si>
  <si>
    <t>научно-технические услуги</t>
  </si>
  <si>
    <t>2312038420</t>
  </si>
  <si>
    <t>ФГБОУ ВО "КубГУ"</t>
  </si>
  <si>
    <t>ИП Черниговский</t>
  </si>
  <si>
    <t>235300600997</t>
  </si>
  <si>
    <t>73-ЭО</t>
  </si>
  <si>
    <t>услуги по экологии</t>
  </si>
  <si>
    <t>235306110100</t>
  </si>
  <si>
    <t>ИП Казерова</t>
  </si>
  <si>
    <t>питание</t>
  </si>
  <si>
    <t>К056931/23</t>
  </si>
  <si>
    <t>обслуживание системы Контур экстерн</t>
  </si>
  <si>
    <t>6663003127</t>
  </si>
  <si>
    <t>АО "Производственная фирма "СКБ Контур"</t>
  </si>
  <si>
    <t>ООО "АйТи Мониторинг"</t>
  </si>
  <si>
    <t>2311187588</t>
  </si>
  <si>
    <t>обслуживание в удостоверяющем центре</t>
  </si>
  <si>
    <t>АТ00-004491</t>
  </si>
  <si>
    <t>51</t>
  </si>
  <si>
    <t>А0047506</t>
  </si>
  <si>
    <t>поставка учебников</t>
  </si>
  <si>
    <t>АО "Издательство "Просвещение"</t>
  </si>
  <si>
    <t>233235301409723530100100110015629244</t>
  </si>
  <si>
    <t>0818300019923000067</t>
  </si>
  <si>
    <t>Оказание услуг по организации питания</t>
  </si>
  <si>
    <t>2353020735</t>
  </si>
  <si>
    <t>ООО "Тимашевское ПРТ райпо"</t>
  </si>
  <si>
    <t>В течение 10 рабочих дней после подписания акта приема-передачи</t>
  </si>
  <si>
    <t>23-10541</t>
  </si>
  <si>
    <t>ООО "СпецБланк-Москва"</t>
  </si>
  <si>
    <t>7706526550</t>
  </si>
  <si>
    <t>аттестаты</t>
  </si>
  <si>
    <t>ИП Тарануха</t>
  </si>
  <si>
    <t>233003348389</t>
  </si>
  <si>
    <t>118-ТО</t>
  </si>
  <si>
    <t>техосмотр</t>
  </si>
  <si>
    <t>2023.095793</t>
  </si>
  <si>
    <t>бензин</t>
  </si>
  <si>
    <t>ООО "Процессинговая компания"</t>
  </si>
  <si>
    <t>УПД</t>
  </si>
  <si>
    <t>2310132554</t>
  </si>
  <si>
    <t>ООО "Краснодарский учколлектор"</t>
  </si>
  <si>
    <t>63</t>
  </si>
  <si>
    <t>товар</t>
  </si>
  <si>
    <t>в течение 7 рабочих дней</t>
  </si>
  <si>
    <t>66</t>
  </si>
  <si>
    <t>учебно-наглядное пособие</t>
  </si>
  <si>
    <t>2350009645</t>
  </si>
  <si>
    <t>ООО "Художественный салон "Сокол"</t>
  </si>
  <si>
    <t>питание сво</t>
  </si>
  <si>
    <t>услуга сво</t>
  </si>
  <si>
    <t>4348/212</t>
  </si>
  <si>
    <t>подписка</t>
  </si>
  <si>
    <t>7724490000</t>
  </si>
  <si>
    <t>АО "Почта России"</t>
  </si>
  <si>
    <t>В течение 10 рабочих дней предоплата</t>
  </si>
  <si>
    <t>70-77</t>
  </si>
  <si>
    <t>ученическая мебель</t>
  </si>
  <si>
    <t>233907290277</t>
  </si>
  <si>
    <t>ИП Орехова</t>
  </si>
  <si>
    <t>6-23-2</t>
  </si>
  <si>
    <t>дезинсекция</t>
  </si>
  <si>
    <t>138</t>
  </si>
  <si>
    <t>хозтовары</t>
  </si>
  <si>
    <t>ИП Латышева</t>
  </si>
  <si>
    <t>30-05/2023-1</t>
  </si>
  <si>
    <t>ремонт автобуса</t>
  </si>
  <si>
    <t>235303782209</t>
  </si>
  <si>
    <t>ИП Пастухов</t>
  </si>
  <si>
    <t>01-06/2023-1</t>
  </si>
  <si>
    <t>100/23</t>
  </si>
  <si>
    <t>медосмотр</t>
  </si>
  <si>
    <t>2353006498</t>
  </si>
  <si>
    <t>ГБУЗ "Тимашевская ЦРБ"</t>
  </si>
  <si>
    <t>136</t>
  </si>
  <si>
    <t>краска</t>
  </si>
  <si>
    <t>06-06/2023-1</t>
  </si>
  <si>
    <t>925 0000 00000000000 244</t>
  </si>
  <si>
    <t>Оказание услуг по организации питания в лагере с дневным пребыванием детей на базе МБОУ СОШ № 6</t>
  </si>
  <si>
    <t>ООО "Тимашевское прт райпо"</t>
  </si>
  <si>
    <t>бумага</t>
  </si>
  <si>
    <t>137</t>
  </si>
  <si>
    <t>панель светодиодная</t>
  </si>
  <si>
    <t>А0056399</t>
  </si>
  <si>
    <t>Поставка учебной литературы</t>
  </si>
  <si>
    <t>до 08.08.2023</t>
  </si>
  <si>
    <t>В течение 10 рабочих дней со дня подписания Заказчиком УПД</t>
  </si>
  <si>
    <t>02.062023</t>
  </si>
  <si>
    <t>карта водителя</t>
  </si>
  <si>
    <t>бн</t>
  </si>
  <si>
    <t>2023.233334</t>
  </si>
  <si>
    <t>бензин Аи-92</t>
  </si>
  <si>
    <t>ООО "КТК"</t>
  </si>
  <si>
    <t>173</t>
  </si>
  <si>
    <t>краска, линолеум</t>
  </si>
  <si>
    <t>038-ПН-23</t>
  </si>
  <si>
    <t>Услуги по испытанию и измерению электроустановок и электрооборудования</t>
  </si>
  <si>
    <t>235302001163</t>
  </si>
  <si>
    <t>ИП Ромчук</t>
  </si>
  <si>
    <t>посуда</t>
  </si>
  <si>
    <t>235002152355</t>
  </si>
  <si>
    <t>2369980106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</si>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</sst>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0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14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0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535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2</xdr:row>
      <xdr:rowOff>228600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509154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507423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2</xdr:row>
      <xdr:rowOff>228600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507422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K7" sqref="K7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46" t="s">
        <v>141</v>
      </c>
      <c r="B1" s="347"/>
      <c r="C1" s="347"/>
      <c r="D1" s="347"/>
      <c r="E1" s="346" t="s">
        <v>176</v>
      </c>
      <c r="F1" s="347"/>
      <c r="G1" s="347"/>
      <c r="H1" s="347"/>
      <c r="I1" s="347"/>
      <c r="J1" s="347"/>
      <c r="K1" s="347"/>
      <c r="L1" s="347"/>
      <c r="M1" s="347"/>
      <c r="N1" s="348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322" t="s">
        <v>25</v>
      </c>
      <c r="B4" s="323"/>
      <c r="C4" s="4">
        <v>9516259.7200000007</v>
      </c>
      <c r="D4" s="5"/>
      <c r="E4" s="324" t="s">
        <v>140</v>
      </c>
      <c r="F4" s="325"/>
      <c r="G4" s="326"/>
      <c r="H4" s="327">
        <v>1500000</v>
      </c>
      <c r="I4" s="328"/>
      <c r="J4" s="329"/>
      <c r="K4" s="22"/>
      <c r="L4" s="99" t="s">
        <v>55</v>
      </c>
      <c r="M4" s="324">
        <v>3054829.95</v>
      </c>
      <c r="N4" s="326"/>
    </row>
    <row r="5" spans="1:14" ht="30.75" customHeight="1" thickBot="1" x14ac:dyDescent="0.35">
      <c r="A5" s="322" t="s">
        <v>26</v>
      </c>
      <c r="B5" s="323"/>
      <c r="C5" s="6">
        <f>C4-G15+J15</f>
        <v>2760264.4900000012</v>
      </c>
      <c r="D5" s="5"/>
      <c r="E5" s="324" t="s">
        <v>53</v>
      </c>
      <c r="F5" s="325"/>
      <c r="G5" s="326"/>
      <c r="H5" s="314">
        <f>H4-G12</f>
        <v>346618.58000000007</v>
      </c>
      <c r="I5" s="315"/>
      <c r="J5" s="316"/>
      <c r="K5" s="22"/>
      <c r="L5" s="99" t="s">
        <v>54</v>
      </c>
      <c r="M5" s="317">
        <f>M4-G13</f>
        <v>213239.38000000035</v>
      </c>
      <c r="N5" s="318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330" t="s">
        <v>27</v>
      </c>
      <c r="B8" s="331"/>
      <c r="C8" s="332"/>
      <c r="D8" s="330" t="s">
        <v>28</v>
      </c>
      <c r="E8" s="331"/>
      <c r="F8" s="332"/>
      <c r="G8" s="333" t="s">
        <v>29</v>
      </c>
      <c r="H8" s="334"/>
      <c r="I8" s="335"/>
      <c r="J8" s="333" t="s">
        <v>142</v>
      </c>
      <c r="K8" s="334"/>
      <c r="L8" s="335"/>
      <c r="M8" s="330" t="s">
        <v>30</v>
      </c>
      <c r="N8" s="332"/>
    </row>
    <row r="9" spans="1:14" ht="41.25" customHeight="1" thickBot="1" x14ac:dyDescent="0.35">
      <c r="A9" s="336" t="s">
        <v>31</v>
      </c>
      <c r="B9" s="337"/>
      <c r="C9" s="338"/>
      <c r="D9" s="339">
        <f>'Состоявшиеся аукционы'!G2</f>
        <v>26100</v>
      </c>
      <c r="E9" s="339"/>
      <c r="F9" s="339"/>
      <c r="G9" s="339">
        <f>'Состоявшиеся аукционы'!Q2</f>
        <v>25578</v>
      </c>
      <c r="H9" s="339"/>
      <c r="I9" s="339"/>
      <c r="J9" s="319">
        <f>'Состоявшиеся аукционы'!AB2</f>
        <v>0</v>
      </c>
      <c r="K9" s="321"/>
      <c r="L9" s="320"/>
      <c r="M9" s="339">
        <f t="shared" ref="M9:M15" si="0">D9-G9</f>
        <v>522</v>
      </c>
      <c r="N9" s="339"/>
    </row>
    <row r="10" spans="1:14" ht="78.75" customHeight="1" thickBot="1" x14ac:dyDescent="0.35">
      <c r="A10" s="336" t="s">
        <v>49</v>
      </c>
      <c r="B10" s="337"/>
      <c r="C10" s="338"/>
      <c r="D10" s="339">
        <f>'Несостоявшиеся аукционы'!G2</f>
        <v>763740.72</v>
      </c>
      <c r="E10" s="339"/>
      <c r="F10" s="339"/>
      <c r="G10" s="339">
        <f>'Несостоявшиеся аукционы'!Q2</f>
        <v>763740.72</v>
      </c>
      <c r="H10" s="339"/>
      <c r="I10" s="339"/>
      <c r="J10" s="319">
        <f>'Несостоявшиеся аукционы'!AB2</f>
        <v>398847.02</v>
      </c>
      <c r="K10" s="321"/>
      <c r="L10" s="320"/>
      <c r="M10" s="339">
        <f t="shared" si="0"/>
        <v>0</v>
      </c>
      <c r="N10" s="339"/>
    </row>
    <row r="11" spans="1:14" ht="40.5" customHeight="1" thickBot="1" x14ac:dyDescent="0.35">
      <c r="A11" s="336" t="s">
        <v>83</v>
      </c>
      <c r="B11" s="337"/>
      <c r="C11" s="338"/>
      <c r="D11" s="319">
        <f>'Иные конкурентные закупки'!G2</f>
        <v>742848</v>
      </c>
      <c r="E11" s="321"/>
      <c r="F11" s="320"/>
      <c r="G11" s="319">
        <f>'Иные конкурентные закупки'!Q2</f>
        <v>683420.16000000003</v>
      </c>
      <c r="H11" s="321"/>
      <c r="I11" s="320"/>
      <c r="J11" s="319">
        <f>'Иные конкурентные закупки'!AB2</f>
        <v>0</v>
      </c>
      <c r="K11" s="321"/>
      <c r="L11" s="320"/>
      <c r="M11" s="319">
        <f t="shared" si="0"/>
        <v>59427.839999999967</v>
      </c>
      <c r="N11" s="320"/>
    </row>
    <row r="12" spans="1:14" ht="54.75" customHeight="1" thickBot="1" x14ac:dyDescent="0.35">
      <c r="A12" s="343" t="s">
        <v>50</v>
      </c>
      <c r="B12" s="344"/>
      <c r="C12" s="345"/>
      <c r="D12" s="339">
        <f>'Ед. поставщик п.4 ч.1'!H2</f>
        <v>1153381.42</v>
      </c>
      <c r="E12" s="339"/>
      <c r="F12" s="339"/>
      <c r="G12" s="339">
        <f>D12</f>
        <v>1153381.42</v>
      </c>
      <c r="H12" s="339"/>
      <c r="I12" s="339"/>
      <c r="J12" s="319">
        <f>'Ед. поставщик п.4 ч.1'!V2</f>
        <v>0</v>
      </c>
      <c r="K12" s="321"/>
      <c r="L12" s="320"/>
      <c r="M12" s="339">
        <f t="shared" si="0"/>
        <v>0</v>
      </c>
      <c r="N12" s="339"/>
    </row>
    <row r="13" spans="1:14" ht="45.75" customHeight="1" thickBot="1" x14ac:dyDescent="0.35">
      <c r="A13" s="343" t="s">
        <v>51</v>
      </c>
      <c r="B13" s="344"/>
      <c r="C13" s="345"/>
      <c r="D13" s="339">
        <f>'Ед. поставщик п.5 ч.1'!H2</f>
        <v>2841590.57</v>
      </c>
      <c r="E13" s="339"/>
      <c r="F13" s="339"/>
      <c r="G13" s="339">
        <f>D13</f>
        <v>2841590.57</v>
      </c>
      <c r="H13" s="339"/>
      <c r="I13" s="339"/>
      <c r="J13" s="319">
        <f>'Ед. поставщик п.5 ч.1'!V2</f>
        <v>273451.07</v>
      </c>
      <c r="K13" s="321"/>
      <c r="L13" s="320"/>
      <c r="M13" s="339">
        <f t="shared" si="0"/>
        <v>0</v>
      </c>
      <c r="N13" s="339"/>
    </row>
    <row r="14" spans="1:14" ht="45.75" customHeight="1" thickBot="1" x14ac:dyDescent="0.35">
      <c r="A14" s="361" t="s">
        <v>52</v>
      </c>
      <c r="B14" s="362"/>
      <c r="C14" s="363"/>
      <c r="D14" s="319">
        <f>'Ед.поставщик за искл. п.4,5 ч.1'!G2</f>
        <v>1960582.45</v>
      </c>
      <c r="E14" s="321"/>
      <c r="F14" s="320"/>
      <c r="G14" s="319">
        <f>D14</f>
        <v>1960582.45</v>
      </c>
      <c r="H14" s="321"/>
      <c r="I14" s="320"/>
      <c r="J14" s="319">
        <f>'Ед.поставщик за искл. п.4,5 ч.1'!T2</f>
        <v>0</v>
      </c>
      <c r="K14" s="321"/>
      <c r="L14" s="320"/>
      <c r="M14" s="339">
        <f t="shared" si="0"/>
        <v>0</v>
      </c>
      <c r="N14" s="339"/>
    </row>
    <row r="15" spans="1:14" ht="21.6" thickBot="1" x14ac:dyDescent="0.35">
      <c r="A15" s="340" t="s">
        <v>143</v>
      </c>
      <c r="B15" s="341"/>
      <c r="C15" s="342"/>
      <c r="D15" s="339">
        <f>SUM(D9:D14)</f>
        <v>7488243.1599999992</v>
      </c>
      <c r="E15" s="339"/>
      <c r="F15" s="339"/>
      <c r="G15" s="319">
        <f>SUM(G9:G14)</f>
        <v>7428293.3199999994</v>
      </c>
      <c r="H15" s="321"/>
      <c r="I15" s="320"/>
      <c r="J15" s="319">
        <f>SUM(J9:J14)</f>
        <v>672298.09000000008</v>
      </c>
      <c r="K15" s="321"/>
      <c r="L15" s="320"/>
      <c r="M15" s="339">
        <f t="shared" si="0"/>
        <v>59949.839999999851</v>
      </c>
      <c r="N15" s="339"/>
    </row>
    <row r="18" spans="1:12" ht="15" thickBot="1" x14ac:dyDescent="0.35"/>
    <row r="19" spans="1:12" ht="23.25" customHeight="1" x14ac:dyDescent="0.3">
      <c r="A19" s="349" t="s">
        <v>35</v>
      </c>
      <c r="B19" s="350"/>
      <c r="C19" s="351"/>
      <c r="D19" s="355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4253540.33</v>
      </c>
      <c r="E19" s="356"/>
      <c r="F19" s="356"/>
      <c r="G19" s="357"/>
      <c r="I19" s="20"/>
      <c r="J19" s="20"/>
      <c r="K19" s="20"/>
      <c r="L19" s="20"/>
    </row>
    <row r="20" spans="1:12" ht="24" customHeight="1" thickBot="1" x14ac:dyDescent="0.35">
      <c r="A20" s="352"/>
      <c r="B20" s="353"/>
      <c r="C20" s="354"/>
      <c r="D20" s="358"/>
      <c r="E20" s="359"/>
      <c r="F20" s="359"/>
      <c r="G20" s="360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02"/>
  <sheetViews>
    <sheetView showGridLines="0" topLeftCell="F1" zoomScale="51" zoomScaleNormal="70" workbookViewId="0">
      <pane ySplit="8" topLeftCell="A69" activePane="bottomLeft" state="frozen"/>
      <selection activeCell="I1" sqref="I1"/>
      <selection pane="bottomLeft" activeCell="P72" sqref="P72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SUM(H9:H10001)</f>
        <v>1153381.42</v>
      </c>
      <c r="K2" s="451"/>
      <c r="L2" s="451"/>
      <c r="M2" s="451"/>
      <c r="N2" s="452" t="s">
        <v>137</v>
      </c>
      <c r="O2" s="454"/>
      <c r="P2" s="87">
        <f>SUM(P9:P10001)</f>
        <v>608080.81000000006</v>
      </c>
      <c r="R2" s="86"/>
      <c r="S2" s="452" t="s">
        <v>45</v>
      </c>
      <c r="T2" s="453"/>
      <c r="U2" s="454"/>
      <c r="V2" s="88">
        <f>SUM(V9:V10001)</f>
        <v>0</v>
      </c>
    </row>
    <row r="3" spans="1:24" x14ac:dyDescent="0.3">
      <c r="A3" s="451"/>
      <c r="B3" s="451"/>
      <c r="C3" s="451"/>
      <c r="D3" s="451"/>
      <c r="E3" s="451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455"/>
      <c r="K4" s="455"/>
      <c r="M4" s="455"/>
      <c r="N4" s="455"/>
      <c r="O4" s="455"/>
      <c r="P4" s="455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customHeight="1" x14ac:dyDescent="0.3">
      <c r="A9" s="485">
        <v>1</v>
      </c>
      <c r="B9" s="461" t="s">
        <v>56</v>
      </c>
      <c r="C9" s="407" t="s">
        <v>146</v>
      </c>
      <c r="D9" s="407" t="s">
        <v>147</v>
      </c>
      <c r="E9" s="487">
        <v>45078</v>
      </c>
      <c r="F9" s="413">
        <v>44951</v>
      </c>
      <c r="G9" s="407" t="s">
        <v>159</v>
      </c>
      <c r="H9" s="458">
        <v>21993.040000000001</v>
      </c>
      <c r="I9" s="456">
        <f>IF(X9 = 1, H9 + SUM(S9:S10) - SUM(T9:T10) - SUM(P9:P10) - V9,0)</f>
        <v>9896.880000000001</v>
      </c>
      <c r="J9" s="407" t="s">
        <v>160</v>
      </c>
      <c r="K9" s="407" t="s">
        <v>161</v>
      </c>
      <c r="L9" s="407" t="s">
        <v>146</v>
      </c>
      <c r="M9" s="407" t="s">
        <v>162</v>
      </c>
      <c r="N9" s="121">
        <v>45012</v>
      </c>
      <c r="O9" s="416" t="s">
        <v>181</v>
      </c>
      <c r="P9" s="112">
        <v>6048.08</v>
      </c>
      <c r="Q9" s="113">
        <v>45022</v>
      </c>
      <c r="R9" s="114"/>
      <c r="S9" s="112"/>
      <c r="T9" s="112"/>
      <c r="U9" s="458"/>
      <c r="V9" s="422"/>
      <c r="W9" s="482"/>
      <c r="X9" s="107">
        <v>1</v>
      </c>
    </row>
    <row r="10" spans="1:24" s="111" customFormat="1" x14ac:dyDescent="0.3">
      <c r="A10" s="486"/>
      <c r="B10" s="463"/>
      <c r="C10" s="409"/>
      <c r="D10" s="409"/>
      <c r="E10" s="488"/>
      <c r="F10" s="415"/>
      <c r="G10" s="409"/>
      <c r="H10" s="460"/>
      <c r="I10" s="457"/>
      <c r="J10" s="409"/>
      <c r="K10" s="409"/>
      <c r="L10" s="409"/>
      <c r="M10" s="409"/>
      <c r="N10" s="123">
        <v>45104</v>
      </c>
      <c r="O10" s="418"/>
      <c r="P10" s="118">
        <v>6048.08</v>
      </c>
      <c r="Q10" s="119">
        <v>45110</v>
      </c>
      <c r="R10" s="120"/>
      <c r="S10" s="118"/>
      <c r="T10" s="118"/>
      <c r="U10" s="460"/>
      <c r="V10" s="424"/>
      <c r="W10" s="484"/>
      <c r="X10" s="111">
        <v>1</v>
      </c>
    </row>
    <row r="11" spans="1:24" s="107" customFormat="1" ht="93.75" customHeight="1" x14ac:dyDescent="0.3">
      <c r="A11" s="464">
        <v>2</v>
      </c>
      <c r="B11" s="473" t="s">
        <v>56</v>
      </c>
      <c r="C11" s="419" t="s">
        <v>146</v>
      </c>
      <c r="D11" s="419" t="s">
        <v>147</v>
      </c>
      <c r="E11" s="476">
        <v>1</v>
      </c>
      <c r="F11" s="479">
        <v>44952</v>
      </c>
      <c r="G11" s="419" t="s">
        <v>163</v>
      </c>
      <c r="H11" s="470">
        <v>17500</v>
      </c>
      <c r="I11" s="497">
        <f>IF(X11 = 2, H11 + SUM(S11:S14) - SUM(T11:T14) - SUM(P11:P14) - V11,0)</f>
        <v>7500</v>
      </c>
      <c r="J11" s="419" t="s">
        <v>164</v>
      </c>
      <c r="K11" s="419" t="s">
        <v>165</v>
      </c>
      <c r="L11" s="419" t="s">
        <v>146</v>
      </c>
      <c r="M11" s="419" t="s">
        <v>166</v>
      </c>
      <c r="N11" s="227">
        <v>44957</v>
      </c>
      <c r="O11" s="467" t="s">
        <v>181</v>
      </c>
      <c r="P11" s="218">
        <v>2500</v>
      </c>
      <c r="Q11" s="219">
        <v>44965</v>
      </c>
      <c r="R11" s="220"/>
      <c r="S11" s="218"/>
      <c r="T11" s="218"/>
      <c r="U11" s="470"/>
      <c r="V11" s="491"/>
      <c r="W11" s="494"/>
      <c r="X11" s="107">
        <v>2</v>
      </c>
    </row>
    <row r="12" spans="1:24" s="106" customFormat="1" x14ac:dyDescent="0.3">
      <c r="A12" s="465"/>
      <c r="B12" s="474"/>
      <c r="C12" s="420"/>
      <c r="D12" s="420"/>
      <c r="E12" s="477"/>
      <c r="F12" s="480"/>
      <c r="G12" s="420"/>
      <c r="H12" s="471"/>
      <c r="I12" s="498"/>
      <c r="J12" s="420"/>
      <c r="K12" s="420"/>
      <c r="L12" s="420"/>
      <c r="M12" s="420"/>
      <c r="N12" s="228">
        <v>44985</v>
      </c>
      <c r="O12" s="468"/>
      <c r="P12" s="221">
        <v>2500</v>
      </c>
      <c r="Q12" s="222">
        <v>44986</v>
      </c>
      <c r="R12" s="223"/>
      <c r="S12" s="221"/>
      <c r="T12" s="221"/>
      <c r="U12" s="471"/>
      <c r="V12" s="492"/>
      <c r="W12" s="495"/>
      <c r="X12" s="106">
        <v>2</v>
      </c>
    </row>
    <row r="13" spans="1:24" s="111" customFormat="1" x14ac:dyDescent="0.3">
      <c r="A13" s="465"/>
      <c r="B13" s="474"/>
      <c r="C13" s="420"/>
      <c r="D13" s="420"/>
      <c r="E13" s="477"/>
      <c r="F13" s="480"/>
      <c r="G13" s="420"/>
      <c r="H13" s="471"/>
      <c r="I13" s="498"/>
      <c r="J13" s="420"/>
      <c r="K13" s="420"/>
      <c r="L13" s="420"/>
      <c r="M13" s="420"/>
      <c r="N13" s="228">
        <v>45021</v>
      </c>
      <c r="O13" s="468"/>
      <c r="P13" s="221">
        <v>2500</v>
      </c>
      <c r="Q13" s="222">
        <v>45035</v>
      </c>
      <c r="R13" s="223"/>
      <c r="S13" s="221"/>
      <c r="T13" s="221"/>
      <c r="U13" s="471"/>
      <c r="V13" s="492"/>
      <c r="W13" s="495"/>
      <c r="X13" s="111">
        <v>2</v>
      </c>
    </row>
    <row r="14" spans="1:24" s="209" customFormat="1" x14ac:dyDescent="0.3">
      <c r="A14" s="466"/>
      <c r="B14" s="475"/>
      <c r="C14" s="421"/>
      <c r="D14" s="421"/>
      <c r="E14" s="478"/>
      <c r="F14" s="481"/>
      <c r="G14" s="421"/>
      <c r="H14" s="472"/>
      <c r="I14" s="499"/>
      <c r="J14" s="421"/>
      <c r="K14" s="421"/>
      <c r="L14" s="421"/>
      <c r="M14" s="421"/>
      <c r="N14" s="229">
        <v>45041</v>
      </c>
      <c r="O14" s="469"/>
      <c r="P14" s="224">
        <v>2500</v>
      </c>
      <c r="Q14" s="225">
        <v>45049</v>
      </c>
      <c r="R14" s="226"/>
      <c r="S14" s="224"/>
      <c r="T14" s="224"/>
      <c r="U14" s="472"/>
      <c r="V14" s="493"/>
      <c r="W14" s="496"/>
      <c r="X14" s="209">
        <v>2</v>
      </c>
    </row>
    <row r="15" spans="1:24" s="107" customFormat="1" ht="93.75" customHeight="1" x14ac:dyDescent="0.3">
      <c r="A15" s="485">
        <v>3</v>
      </c>
      <c r="B15" s="461" t="s">
        <v>56</v>
      </c>
      <c r="C15" s="407" t="s">
        <v>146</v>
      </c>
      <c r="D15" s="407" t="s">
        <v>147</v>
      </c>
      <c r="E15" s="410" t="s">
        <v>173</v>
      </c>
      <c r="F15" s="413">
        <v>44951</v>
      </c>
      <c r="G15" s="407" t="s">
        <v>174</v>
      </c>
      <c r="H15" s="458">
        <v>9000</v>
      </c>
      <c r="I15" s="456">
        <f>IF(X15 = 8, H15 + SUM(S15:S18) - SUM(T15:T18) - SUM(P15:P18) - V15,0)</f>
        <v>0</v>
      </c>
      <c r="J15" s="407" t="s">
        <v>172</v>
      </c>
      <c r="K15" s="407" t="s">
        <v>171</v>
      </c>
      <c r="L15" s="407" t="s">
        <v>146</v>
      </c>
      <c r="M15" s="407" t="s">
        <v>175</v>
      </c>
      <c r="N15" s="121">
        <v>44957</v>
      </c>
      <c r="O15" s="416" t="s">
        <v>181</v>
      </c>
      <c r="P15" s="112">
        <v>3000</v>
      </c>
      <c r="Q15" s="113">
        <v>44963</v>
      </c>
      <c r="R15" s="114"/>
      <c r="S15" s="112"/>
      <c r="T15" s="112"/>
      <c r="U15" s="458"/>
      <c r="V15" s="422"/>
      <c r="W15" s="482"/>
      <c r="X15" s="107">
        <v>8</v>
      </c>
    </row>
    <row r="16" spans="1:24" s="106" customFormat="1" x14ac:dyDescent="0.3">
      <c r="A16" s="490"/>
      <c r="B16" s="462"/>
      <c r="C16" s="408"/>
      <c r="D16" s="408"/>
      <c r="E16" s="411"/>
      <c r="F16" s="414"/>
      <c r="G16" s="408"/>
      <c r="H16" s="459"/>
      <c r="I16" s="489"/>
      <c r="J16" s="408"/>
      <c r="K16" s="408"/>
      <c r="L16" s="408"/>
      <c r="M16" s="408"/>
      <c r="N16" s="122">
        <v>44985</v>
      </c>
      <c r="O16" s="417"/>
      <c r="P16" s="115">
        <v>3000</v>
      </c>
      <c r="Q16" s="116">
        <v>44986</v>
      </c>
      <c r="R16" s="117"/>
      <c r="S16" s="115"/>
      <c r="T16" s="115"/>
      <c r="U16" s="459"/>
      <c r="V16" s="423"/>
      <c r="W16" s="483"/>
      <c r="X16" s="106">
        <v>8</v>
      </c>
    </row>
    <row r="17" spans="1:24" s="111" customFormat="1" x14ac:dyDescent="0.3">
      <c r="A17" s="490"/>
      <c r="B17" s="462"/>
      <c r="C17" s="408"/>
      <c r="D17" s="408"/>
      <c r="E17" s="411"/>
      <c r="F17" s="414"/>
      <c r="G17" s="408"/>
      <c r="H17" s="459"/>
      <c r="I17" s="489"/>
      <c r="J17" s="408"/>
      <c r="K17" s="408"/>
      <c r="L17" s="408"/>
      <c r="M17" s="408"/>
      <c r="N17" s="122">
        <v>45016</v>
      </c>
      <c r="O17" s="417"/>
      <c r="P17" s="115">
        <v>3000</v>
      </c>
      <c r="Q17" s="116">
        <v>45022</v>
      </c>
      <c r="R17" s="117"/>
      <c r="S17" s="115"/>
      <c r="T17" s="115"/>
      <c r="U17" s="459"/>
      <c r="V17" s="423"/>
      <c r="W17" s="483"/>
      <c r="X17" s="111">
        <v>8</v>
      </c>
    </row>
    <row r="18" spans="1:24" s="111" customFormat="1" x14ac:dyDescent="0.3">
      <c r="A18" s="486"/>
      <c r="B18" s="463"/>
      <c r="C18" s="409"/>
      <c r="D18" s="409"/>
      <c r="E18" s="412"/>
      <c r="F18" s="415"/>
      <c r="G18" s="409"/>
      <c r="H18" s="460"/>
      <c r="I18" s="457"/>
      <c r="J18" s="409"/>
      <c r="K18" s="409"/>
      <c r="L18" s="409"/>
      <c r="M18" s="409"/>
      <c r="N18" s="123"/>
      <c r="O18" s="418"/>
      <c r="P18" s="118"/>
      <c r="Q18" s="119"/>
      <c r="R18" s="120"/>
      <c r="S18" s="118"/>
      <c r="T18" s="118"/>
      <c r="U18" s="460"/>
      <c r="V18" s="424"/>
      <c r="W18" s="484"/>
      <c r="X18" s="111">
        <v>8</v>
      </c>
    </row>
    <row r="19" spans="1:24" s="107" customFormat="1" ht="168.75" customHeight="1" x14ac:dyDescent="0.3">
      <c r="A19" s="379">
        <v>4</v>
      </c>
      <c r="B19" s="364" t="s">
        <v>56</v>
      </c>
      <c r="C19" s="364" t="s">
        <v>146</v>
      </c>
      <c r="D19" s="364" t="s">
        <v>147</v>
      </c>
      <c r="E19" s="367">
        <v>34000838</v>
      </c>
      <c r="F19" s="370">
        <v>44951</v>
      </c>
      <c r="G19" s="364" t="s">
        <v>192</v>
      </c>
      <c r="H19" s="373">
        <v>27331.200000000001</v>
      </c>
      <c r="I19" s="376">
        <f>IF(X19 = 23, H19 + SUM(S19:S24) - SUM(T19:T24) - SUM(P19:P24) - V19,0)</f>
        <v>13665.6</v>
      </c>
      <c r="J19" s="364" t="s">
        <v>193</v>
      </c>
      <c r="K19" s="364" t="s">
        <v>194</v>
      </c>
      <c r="L19" s="364" t="s">
        <v>146</v>
      </c>
      <c r="M19" s="364"/>
      <c r="N19" s="302">
        <v>44957</v>
      </c>
      <c r="O19" s="370" t="s">
        <v>181</v>
      </c>
      <c r="P19" s="293">
        <v>2277.6</v>
      </c>
      <c r="Q19" s="294">
        <v>44974</v>
      </c>
      <c r="R19" s="295"/>
      <c r="S19" s="293"/>
      <c r="T19" s="293"/>
      <c r="U19" s="373"/>
      <c r="V19" s="381"/>
      <c r="W19" s="383"/>
      <c r="X19" s="107">
        <v>23</v>
      </c>
    </row>
    <row r="20" spans="1:24" s="134" customFormat="1" x14ac:dyDescent="0.3">
      <c r="A20" s="389"/>
      <c r="B20" s="365"/>
      <c r="C20" s="365"/>
      <c r="D20" s="365"/>
      <c r="E20" s="368"/>
      <c r="F20" s="371"/>
      <c r="G20" s="365"/>
      <c r="H20" s="374"/>
      <c r="I20" s="377"/>
      <c r="J20" s="365"/>
      <c r="K20" s="365"/>
      <c r="L20" s="365"/>
      <c r="M20" s="365"/>
      <c r="N20" s="303">
        <v>44985</v>
      </c>
      <c r="O20" s="371"/>
      <c r="P20" s="296">
        <v>2277.6</v>
      </c>
      <c r="Q20" s="297">
        <v>44986</v>
      </c>
      <c r="R20" s="298"/>
      <c r="S20" s="296"/>
      <c r="T20" s="296"/>
      <c r="U20" s="374"/>
      <c r="V20" s="390"/>
      <c r="W20" s="385"/>
      <c r="X20" s="134">
        <v>23</v>
      </c>
    </row>
    <row r="21" spans="1:24" s="176" customFormat="1" x14ac:dyDescent="0.3">
      <c r="A21" s="389"/>
      <c r="B21" s="365"/>
      <c r="C21" s="365"/>
      <c r="D21" s="365"/>
      <c r="E21" s="368"/>
      <c r="F21" s="371"/>
      <c r="G21" s="365"/>
      <c r="H21" s="374"/>
      <c r="I21" s="377"/>
      <c r="J21" s="365"/>
      <c r="K21" s="365"/>
      <c r="L21" s="365"/>
      <c r="M21" s="365"/>
      <c r="N21" s="303">
        <v>45016</v>
      </c>
      <c r="O21" s="371"/>
      <c r="P21" s="296">
        <v>2277.6</v>
      </c>
      <c r="Q21" s="297">
        <v>45022</v>
      </c>
      <c r="R21" s="298"/>
      <c r="S21" s="296"/>
      <c r="T21" s="296"/>
      <c r="U21" s="374"/>
      <c r="V21" s="390"/>
      <c r="W21" s="385"/>
      <c r="X21" s="176">
        <v>23</v>
      </c>
    </row>
    <row r="22" spans="1:24" s="209" customFormat="1" x14ac:dyDescent="0.3">
      <c r="A22" s="389"/>
      <c r="B22" s="365"/>
      <c r="C22" s="365"/>
      <c r="D22" s="365"/>
      <c r="E22" s="368"/>
      <c r="F22" s="371"/>
      <c r="G22" s="365"/>
      <c r="H22" s="374"/>
      <c r="I22" s="377"/>
      <c r="J22" s="365"/>
      <c r="K22" s="365"/>
      <c r="L22" s="365"/>
      <c r="M22" s="365"/>
      <c r="N22" s="303">
        <v>45046</v>
      </c>
      <c r="O22" s="371"/>
      <c r="P22" s="296">
        <v>2277.6</v>
      </c>
      <c r="Q22" s="297">
        <v>45049</v>
      </c>
      <c r="R22" s="298"/>
      <c r="S22" s="296"/>
      <c r="T22" s="296"/>
      <c r="U22" s="374"/>
      <c r="V22" s="390"/>
      <c r="W22" s="385"/>
      <c r="X22" s="209">
        <v>23</v>
      </c>
    </row>
    <row r="23" spans="1:24" s="292" customFormat="1" x14ac:dyDescent="0.3">
      <c r="A23" s="389"/>
      <c r="B23" s="365"/>
      <c r="C23" s="365"/>
      <c r="D23" s="365"/>
      <c r="E23" s="368"/>
      <c r="F23" s="371"/>
      <c r="G23" s="365"/>
      <c r="H23" s="374"/>
      <c r="I23" s="377"/>
      <c r="J23" s="365"/>
      <c r="K23" s="365"/>
      <c r="L23" s="365"/>
      <c r="M23" s="365"/>
      <c r="N23" s="303">
        <v>45077</v>
      </c>
      <c r="O23" s="371"/>
      <c r="P23" s="296">
        <v>2277.6</v>
      </c>
      <c r="Q23" s="297">
        <v>45082</v>
      </c>
      <c r="R23" s="298"/>
      <c r="S23" s="296"/>
      <c r="T23" s="296"/>
      <c r="U23" s="374"/>
      <c r="V23" s="390"/>
      <c r="W23" s="385"/>
      <c r="X23" s="292">
        <v>23</v>
      </c>
    </row>
    <row r="24" spans="1:24" s="292" customFormat="1" x14ac:dyDescent="0.3">
      <c r="A24" s="380"/>
      <c r="B24" s="366"/>
      <c r="C24" s="366"/>
      <c r="D24" s="366"/>
      <c r="E24" s="369"/>
      <c r="F24" s="372"/>
      <c r="G24" s="366"/>
      <c r="H24" s="375"/>
      <c r="I24" s="378"/>
      <c r="J24" s="366"/>
      <c r="K24" s="366"/>
      <c r="L24" s="366"/>
      <c r="M24" s="366"/>
      <c r="N24" s="304">
        <v>45107</v>
      </c>
      <c r="O24" s="372"/>
      <c r="P24" s="299">
        <v>2277.6</v>
      </c>
      <c r="Q24" s="300">
        <v>45110</v>
      </c>
      <c r="R24" s="301"/>
      <c r="S24" s="299"/>
      <c r="T24" s="299"/>
      <c r="U24" s="375"/>
      <c r="V24" s="382"/>
      <c r="W24" s="384"/>
      <c r="X24" s="292">
        <v>23</v>
      </c>
    </row>
    <row r="25" spans="1:24" s="107" customFormat="1" ht="168.75" customHeight="1" x14ac:dyDescent="0.3">
      <c r="A25" s="379">
        <v>5</v>
      </c>
      <c r="B25" s="364" t="s">
        <v>56</v>
      </c>
      <c r="C25" s="364" t="s">
        <v>146</v>
      </c>
      <c r="D25" s="364" t="s">
        <v>147</v>
      </c>
      <c r="E25" s="367">
        <v>166</v>
      </c>
      <c r="F25" s="370">
        <v>44951</v>
      </c>
      <c r="G25" s="364" t="s">
        <v>203</v>
      </c>
      <c r="H25" s="373">
        <v>12000</v>
      </c>
      <c r="I25" s="376">
        <f>IF(X25 = 24, H25 + SUM(S25:S30) - SUM(T25:T30) - SUM(P25:P30) - V25,0)</f>
        <v>5035.4399999999996</v>
      </c>
      <c r="J25" s="364" t="s">
        <v>204</v>
      </c>
      <c r="K25" s="364" t="s">
        <v>169</v>
      </c>
      <c r="L25" s="364" t="s">
        <v>146</v>
      </c>
      <c r="M25" s="364"/>
      <c r="N25" s="302">
        <v>44957</v>
      </c>
      <c r="O25" s="370" t="s">
        <v>181</v>
      </c>
      <c r="P25" s="293">
        <v>1246.25</v>
      </c>
      <c r="Q25" s="294">
        <v>44965</v>
      </c>
      <c r="R25" s="295"/>
      <c r="S25" s="293"/>
      <c r="T25" s="293"/>
      <c r="U25" s="373"/>
      <c r="V25" s="381"/>
      <c r="W25" s="383"/>
      <c r="X25" s="107">
        <v>24</v>
      </c>
    </row>
    <row r="26" spans="1:24" s="134" customFormat="1" x14ac:dyDescent="0.3">
      <c r="A26" s="389"/>
      <c r="B26" s="365"/>
      <c r="C26" s="365"/>
      <c r="D26" s="365"/>
      <c r="E26" s="368"/>
      <c r="F26" s="371"/>
      <c r="G26" s="365"/>
      <c r="H26" s="374"/>
      <c r="I26" s="377"/>
      <c r="J26" s="365"/>
      <c r="K26" s="365"/>
      <c r="L26" s="365"/>
      <c r="M26" s="365"/>
      <c r="N26" s="303">
        <v>44985</v>
      </c>
      <c r="O26" s="371"/>
      <c r="P26" s="296">
        <v>1193.94</v>
      </c>
      <c r="Q26" s="297">
        <v>44995</v>
      </c>
      <c r="R26" s="298"/>
      <c r="S26" s="296"/>
      <c r="T26" s="296"/>
      <c r="U26" s="374"/>
      <c r="V26" s="390"/>
      <c r="W26" s="385"/>
      <c r="X26" s="134">
        <v>24</v>
      </c>
    </row>
    <row r="27" spans="1:24" s="176" customFormat="1" x14ac:dyDescent="0.3">
      <c r="A27" s="389"/>
      <c r="B27" s="365"/>
      <c r="C27" s="365"/>
      <c r="D27" s="365"/>
      <c r="E27" s="368"/>
      <c r="F27" s="371"/>
      <c r="G27" s="365"/>
      <c r="H27" s="374"/>
      <c r="I27" s="377"/>
      <c r="J27" s="365"/>
      <c r="K27" s="365"/>
      <c r="L27" s="365"/>
      <c r="M27" s="365"/>
      <c r="N27" s="303">
        <v>45016</v>
      </c>
      <c r="O27" s="371"/>
      <c r="P27" s="296">
        <v>1291.82</v>
      </c>
      <c r="Q27" s="297">
        <v>45022</v>
      </c>
      <c r="R27" s="298"/>
      <c r="S27" s="296"/>
      <c r="T27" s="296"/>
      <c r="U27" s="374"/>
      <c r="V27" s="390"/>
      <c r="W27" s="385"/>
      <c r="X27" s="176">
        <v>24</v>
      </c>
    </row>
    <row r="28" spans="1:24" s="209" customFormat="1" x14ac:dyDescent="0.3">
      <c r="A28" s="389"/>
      <c r="B28" s="365"/>
      <c r="C28" s="365"/>
      <c r="D28" s="365"/>
      <c r="E28" s="368"/>
      <c r="F28" s="371"/>
      <c r="G28" s="365"/>
      <c r="H28" s="374"/>
      <c r="I28" s="377"/>
      <c r="J28" s="365"/>
      <c r="K28" s="365"/>
      <c r="L28" s="365"/>
      <c r="M28" s="365"/>
      <c r="N28" s="303">
        <v>45046</v>
      </c>
      <c r="O28" s="371"/>
      <c r="P28" s="296">
        <v>1075.28</v>
      </c>
      <c r="Q28" s="297">
        <v>45051</v>
      </c>
      <c r="R28" s="298"/>
      <c r="S28" s="296"/>
      <c r="T28" s="296"/>
      <c r="U28" s="374"/>
      <c r="V28" s="390"/>
      <c r="W28" s="385"/>
      <c r="X28" s="209">
        <v>24</v>
      </c>
    </row>
    <row r="29" spans="1:24" s="249" customFormat="1" x14ac:dyDescent="0.3">
      <c r="A29" s="389"/>
      <c r="B29" s="365"/>
      <c r="C29" s="365"/>
      <c r="D29" s="365"/>
      <c r="E29" s="368"/>
      <c r="F29" s="371"/>
      <c r="G29" s="365"/>
      <c r="H29" s="374"/>
      <c r="I29" s="377"/>
      <c r="J29" s="365"/>
      <c r="K29" s="365"/>
      <c r="L29" s="365"/>
      <c r="M29" s="365"/>
      <c r="N29" s="303">
        <v>45077</v>
      </c>
      <c r="O29" s="371"/>
      <c r="P29" s="296">
        <v>1097.26</v>
      </c>
      <c r="Q29" s="297">
        <v>45086</v>
      </c>
      <c r="R29" s="298"/>
      <c r="S29" s="296"/>
      <c r="T29" s="296"/>
      <c r="U29" s="374"/>
      <c r="V29" s="390"/>
      <c r="W29" s="385"/>
      <c r="X29" s="249">
        <v>24</v>
      </c>
    </row>
    <row r="30" spans="1:24" s="292" customFormat="1" x14ac:dyDescent="0.3">
      <c r="A30" s="380"/>
      <c r="B30" s="366"/>
      <c r="C30" s="366"/>
      <c r="D30" s="366"/>
      <c r="E30" s="369"/>
      <c r="F30" s="372"/>
      <c r="G30" s="366"/>
      <c r="H30" s="375"/>
      <c r="I30" s="378"/>
      <c r="J30" s="366"/>
      <c r="K30" s="366"/>
      <c r="L30" s="366"/>
      <c r="M30" s="366"/>
      <c r="N30" s="304">
        <v>45107</v>
      </c>
      <c r="O30" s="372"/>
      <c r="P30" s="299">
        <v>1060.01</v>
      </c>
      <c r="Q30" s="300">
        <v>45113</v>
      </c>
      <c r="R30" s="301"/>
      <c r="S30" s="299"/>
      <c r="T30" s="299"/>
      <c r="U30" s="375"/>
      <c r="V30" s="382"/>
      <c r="W30" s="384"/>
      <c r="X30" s="292">
        <v>24</v>
      </c>
    </row>
    <row r="31" spans="1:24" s="107" customFormat="1" ht="168.75" customHeight="1" x14ac:dyDescent="0.3">
      <c r="A31" s="425">
        <v>6</v>
      </c>
      <c r="B31" s="434" t="s">
        <v>56</v>
      </c>
      <c r="C31" s="434" t="s">
        <v>146</v>
      </c>
      <c r="D31" s="434" t="s">
        <v>147</v>
      </c>
      <c r="E31" s="443" t="s">
        <v>205</v>
      </c>
      <c r="F31" s="428">
        <v>44951</v>
      </c>
      <c r="G31" s="434" t="s">
        <v>203</v>
      </c>
      <c r="H31" s="431">
        <v>3000</v>
      </c>
      <c r="I31" s="446">
        <f>IF(X31 = 25, H31 + SUM(S31:S33) - SUM(T31:T33) - SUM(P31:P33) - V31,0)</f>
        <v>2978.69</v>
      </c>
      <c r="J31" s="434" t="s">
        <v>204</v>
      </c>
      <c r="K31" s="434" t="s">
        <v>169</v>
      </c>
      <c r="L31" s="434" t="s">
        <v>146</v>
      </c>
      <c r="M31" s="434"/>
      <c r="N31" s="197">
        <v>44957</v>
      </c>
      <c r="O31" s="428" t="s">
        <v>181</v>
      </c>
      <c r="P31" s="188">
        <v>18.36</v>
      </c>
      <c r="Q31" s="189">
        <v>44965</v>
      </c>
      <c r="R31" s="190"/>
      <c r="S31" s="188"/>
      <c r="T31" s="188"/>
      <c r="U31" s="431"/>
      <c r="V31" s="437"/>
      <c r="W31" s="440"/>
      <c r="X31" s="107">
        <v>25</v>
      </c>
    </row>
    <row r="32" spans="1:24" s="134" customFormat="1" x14ac:dyDescent="0.3">
      <c r="A32" s="426"/>
      <c r="B32" s="435"/>
      <c r="C32" s="435"/>
      <c r="D32" s="435"/>
      <c r="E32" s="444"/>
      <c r="F32" s="429"/>
      <c r="G32" s="435"/>
      <c r="H32" s="432"/>
      <c r="I32" s="447"/>
      <c r="J32" s="435"/>
      <c r="K32" s="435"/>
      <c r="L32" s="435"/>
      <c r="M32" s="435"/>
      <c r="N32" s="198">
        <v>44985</v>
      </c>
      <c r="O32" s="429"/>
      <c r="P32" s="191" t="s">
        <v>229</v>
      </c>
      <c r="Q32" s="192">
        <v>44995</v>
      </c>
      <c r="R32" s="193"/>
      <c r="S32" s="191"/>
      <c r="T32" s="191"/>
      <c r="U32" s="432"/>
      <c r="V32" s="438"/>
      <c r="W32" s="441"/>
      <c r="X32" s="134">
        <v>25</v>
      </c>
    </row>
    <row r="33" spans="1:24" s="176" customFormat="1" x14ac:dyDescent="0.3">
      <c r="A33" s="427"/>
      <c r="B33" s="436"/>
      <c r="C33" s="436"/>
      <c r="D33" s="436"/>
      <c r="E33" s="445"/>
      <c r="F33" s="430"/>
      <c r="G33" s="436"/>
      <c r="H33" s="433"/>
      <c r="I33" s="448"/>
      <c r="J33" s="436"/>
      <c r="K33" s="436"/>
      <c r="L33" s="436"/>
      <c r="M33" s="436"/>
      <c r="N33" s="199">
        <v>45077</v>
      </c>
      <c r="O33" s="430"/>
      <c r="P33" s="194">
        <v>2.95</v>
      </c>
      <c r="Q33" s="195">
        <v>45086</v>
      </c>
      <c r="R33" s="196"/>
      <c r="S33" s="194"/>
      <c r="T33" s="194"/>
      <c r="U33" s="433"/>
      <c r="V33" s="439"/>
      <c r="W33" s="442"/>
      <c r="X33" s="176">
        <v>25</v>
      </c>
    </row>
    <row r="34" spans="1:24" s="107" customFormat="1" ht="168.75" customHeight="1" x14ac:dyDescent="0.3">
      <c r="A34" s="379">
        <v>7</v>
      </c>
      <c r="B34" s="364" t="s">
        <v>56</v>
      </c>
      <c r="C34" s="364" t="s">
        <v>146</v>
      </c>
      <c r="D34" s="364" t="s">
        <v>147</v>
      </c>
      <c r="E34" s="367">
        <v>4</v>
      </c>
      <c r="F34" s="370">
        <v>44952</v>
      </c>
      <c r="G34" s="364" t="s">
        <v>206</v>
      </c>
      <c r="H34" s="373">
        <v>24000</v>
      </c>
      <c r="I34" s="376">
        <f>IF(X34 = 26, H34 + SUM(S34:S39) - SUM(T34:T39) - SUM(P34:P39) - V34,0)</f>
        <v>12000</v>
      </c>
      <c r="J34" s="364" t="s">
        <v>172</v>
      </c>
      <c r="K34" s="364" t="s">
        <v>171</v>
      </c>
      <c r="L34" s="364" t="s">
        <v>146</v>
      </c>
      <c r="M34" s="364"/>
      <c r="N34" s="302">
        <v>44969</v>
      </c>
      <c r="O34" s="370" t="s">
        <v>181</v>
      </c>
      <c r="P34" s="293">
        <v>2000</v>
      </c>
      <c r="Q34" s="294">
        <v>44974</v>
      </c>
      <c r="R34" s="295"/>
      <c r="S34" s="293"/>
      <c r="T34" s="293"/>
      <c r="U34" s="373"/>
      <c r="V34" s="381"/>
      <c r="W34" s="383"/>
      <c r="X34" s="107">
        <v>26</v>
      </c>
    </row>
    <row r="35" spans="1:24" s="134" customFormat="1" x14ac:dyDescent="0.3">
      <c r="A35" s="389"/>
      <c r="B35" s="365"/>
      <c r="C35" s="365"/>
      <c r="D35" s="365"/>
      <c r="E35" s="368"/>
      <c r="F35" s="371"/>
      <c r="G35" s="365"/>
      <c r="H35" s="374"/>
      <c r="I35" s="377"/>
      <c r="J35" s="365"/>
      <c r="K35" s="365"/>
      <c r="L35" s="365"/>
      <c r="M35" s="365"/>
      <c r="N35" s="303">
        <v>44985</v>
      </c>
      <c r="O35" s="371"/>
      <c r="P35" s="296">
        <v>2000</v>
      </c>
      <c r="Q35" s="297">
        <v>44986</v>
      </c>
      <c r="R35" s="298"/>
      <c r="S35" s="296"/>
      <c r="T35" s="296"/>
      <c r="U35" s="374"/>
      <c r="V35" s="390"/>
      <c r="W35" s="385"/>
      <c r="X35" s="134">
        <v>26</v>
      </c>
    </row>
    <row r="36" spans="1:24" s="176" customFormat="1" x14ac:dyDescent="0.3">
      <c r="A36" s="389"/>
      <c r="B36" s="365"/>
      <c r="C36" s="365"/>
      <c r="D36" s="365"/>
      <c r="E36" s="368"/>
      <c r="F36" s="371"/>
      <c r="G36" s="365"/>
      <c r="H36" s="374"/>
      <c r="I36" s="377"/>
      <c r="J36" s="365"/>
      <c r="K36" s="365"/>
      <c r="L36" s="365"/>
      <c r="M36" s="365"/>
      <c r="N36" s="303">
        <v>45016</v>
      </c>
      <c r="O36" s="371"/>
      <c r="P36" s="296">
        <v>2000</v>
      </c>
      <c r="Q36" s="297">
        <v>45022</v>
      </c>
      <c r="R36" s="298"/>
      <c r="S36" s="296"/>
      <c r="T36" s="296"/>
      <c r="U36" s="374"/>
      <c r="V36" s="390"/>
      <c r="W36" s="385"/>
      <c r="X36" s="176">
        <v>26</v>
      </c>
    </row>
    <row r="37" spans="1:24" s="209" customFormat="1" x14ac:dyDescent="0.3">
      <c r="A37" s="389"/>
      <c r="B37" s="365"/>
      <c r="C37" s="365"/>
      <c r="D37" s="365"/>
      <c r="E37" s="368"/>
      <c r="F37" s="371"/>
      <c r="G37" s="365"/>
      <c r="H37" s="374"/>
      <c r="I37" s="377"/>
      <c r="J37" s="365"/>
      <c r="K37" s="365"/>
      <c r="L37" s="365"/>
      <c r="M37" s="365"/>
      <c r="N37" s="303">
        <v>45046</v>
      </c>
      <c r="O37" s="371"/>
      <c r="P37" s="296">
        <v>2000</v>
      </c>
      <c r="Q37" s="297">
        <v>45049</v>
      </c>
      <c r="R37" s="298"/>
      <c r="S37" s="296"/>
      <c r="T37" s="296"/>
      <c r="U37" s="374"/>
      <c r="V37" s="390"/>
      <c r="W37" s="385"/>
      <c r="X37" s="209">
        <v>26</v>
      </c>
    </row>
    <row r="38" spans="1:24" s="249" customFormat="1" x14ac:dyDescent="0.3">
      <c r="A38" s="389"/>
      <c r="B38" s="365"/>
      <c r="C38" s="365"/>
      <c r="D38" s="365"/>
      <c r="E38" s="368"/>
      <c r="F38" s="371"/>
      <c r="G38" s="365"/>
      <c r="H38" s="374"/>
      <c r="I38" s="377"/>
      <c r="J38" s="365"/>
      <c r="K38" s="365"/>
      <c r="L38" s="365"/>
      <c r="M38" s="365"/>
      <c r="N38" s="303">
        <v>45077</v>
      </c>
      <c r="O38" s="371"/>
      <c r="P38" s="296">
        <v>2000</v>
      </c>
      <c r="Q38" s="297">
        <v>45083</v>
      </c>
      <c r="R38" s="298"/>
      <c r="S38" s="296"/>
      <c r="T38" s="296"/>
      <c r="U38" s="374"/>
      <c r="V38" s="390"/>
      <c r="W38" s="385"/>
      <c r="X38" s="249">
        <v>26</v>
      </c>
    </row>
    <row r="39" spans="1:24" s="292" customFormat="1" x14ac:dyDescent="0.3">
      <c r="A39" s="380"/>
      <c r="B39" s="366"/>
      <c r="C39" s="366"/>
      <c r="D39" s="366"/>
      <c r="E39" s="369"/>
      <c r="F39" s="372"/>
      <c r="G39" s="366"/>
      <c r="H39" s="375"/>
      <c r="I39" s="378"/>
      <c r="J39" s="366"/>
      <c r="K39" s="366"/>
      <c r="L39" s="366"/>
      <c r="M39" s="366"/>
      <c r="N39" s="304">
        <v>45107</v>
      </c>
      <c r="O39" s="372"/>
      <c r="P39" s="299">
        <v>2000</v>
      </c>
      <c r="Q39" s="300">
        <v>45110</v>
      </c>
      <c r="R39" s="301"/>
      <c r="S39" s="299"/>
      <c r="T39" s="299"/>
      <c r="U39" s="375"/>
      <c r="V39" s="382"/>
      <c r="W39" s="384"/>
      <c r="X39" s="292">
        <v>26</v>
      </c>
    </row>
    <row r="40" spans="1:24" s="107" customFormat="1" ht="168.75" customHeight="1" x14ac:dyDescent="0.3">
      <c r="A40" s="379">
        <v>8</v>
      </c>
      <c r="B40" s="364" t="s">
        <v>56</v>
      </c>
      <c r="C40" s="364" t="s">
        <v>146</v>
      </c>
      <c r="D40" s="364" t="s">
        <v>147</v>
      </c>
      <c r="E40" s="386" t="s">
        <v>209</v>
      </c>
      <c r="F40" s="370">
        <v>44952</v>
      </c>
      <c r="G40" s="364" t="s">
        <v>208</v>
      </c>
      <c r="H40" s="373">
        <v>7200</v>
      </c>
      <c r="I40" s="376">
        <f>IF(X40 = 27, H40 + SUM(S40:S41) - SUM(T40:T41) - SUM(P40:P41) - V40,0)</f>
        <v>3600</v>
      </c>
      <c r="J40" s="364" t="s">
        <v>207</v>
      </c>
      <c r="K40" s="364" t="s">
        <v>158</v>
      </c>
      <c r="L40" s="364" t="s">
        <v>146</v>
      </c>
      <c r="M40" s="364"/>
      <c r="N40" s="302">
        <v>45016</v>
      </c>
      <c r="O40" s="370" t="s">
        <v>181</v>
      </c>
      <c r="P40" s="293">
        <v>1800</v>
      </c>
      <c r="Q40" s="294">
        <v>45020</v>
      </c>
      <c r="R40" s="295"/>
      <c r="S40" s="293"/>
      <c r="T40" s="293"/>
      <c r="U40" s="373"/>
      <c r="V40" s="381"/>
      <c r="W40" s="383"/>
      <c r="X40" s="107">
        <v>27</v>
      </c>
    </row>
    <row r="41" spans="1:24" s="292" customFormat="1" x14ac:dyDescent="0.3">
      <c r="A41" s="380"/>
      <c r="B41" s="366"/>
      <c r="C41" s="366"/>
      <c r="D41" s="366"/>
      <c r="E41" s="388"/>
      <c r="F41" s="372"/>
      <c r="G41" s="366"/>
      <c r="H41" s="375"/>
      <c r="I41" s="378"/>
      <c r="J41" s="366"/>
      <c r="K41" s="366"/>
      <c r="L41" s="366"/>
      <c r="M41" s="366"/>
      <c r="N41" s="304">
        <v>45107</v>
      </c>
      <c r="O41" s="372"/>
      <c r="P41" s="299">
        <v>1800</v>
      </c>
      <c r="Q41" s="300">
        <v>45112</v>
      </c>
      <c r="R41" s="301"/>
      <c r="S41" s="299"/>
      <c r="T41" s="299"/>
      <c r="U41" s="375"/>
      <c r="V41" s="382"/>
      <c r="W41" s="384"/>
      <c r="X41" s="292">
        <v>27</v>
      </c>
    </row>
    <row r="42" spans="1:24" s="107" customFormat="1" ht="144" x14ac:dyDescent="0.3">
      <c r="A42" s="124">
        <v>9</v>
      </c>
      <c r="B42" s="125" t="s">
        <v>56</v>
      </c>
      <c r="C42" s="125" t="s">
        <v>146</v>
      </c>
      <c r="D42" s="125" t="s">
        <v>147</v>
      </c>
      <c r="E42" s="149">
        <v>6</v>
      </c>
      <c r="F42" s="135">
        <v>44952</v>
      </c>
      <c r="G42" s="125" t="s">
        <v>210</v>
      </c>
      <c r="H42" s="127">
        <v>12000</v>
      </c>
      <c r="I42" s="128">
        <f>IF(X42 = 28, H42 + SUM(S42:S42) - SUM(T42:T42) - SUM(P42:P42) - V42,0)</f>
        <v>0</v>
      </c>
      <c r="J42" s="125" t="s">
        <v>211</v>
      </c>
      <c r="K42" s="125" t="s">
        <v>212</v>
      </c>
      <c r="L42" s="125" t="s">
        <v>146</v>
      </c>
      <c r="M42" s="125"/>
      <c r="N42" s="135">
        <v>44952</v>
      </c>
      <c r="O42" s="135" t="s">
        <v>181</v>
      </c>
      <c r="P42" s="127">
        <v>12000</v>
      </c>
      <c r="Q42" s="126">
        <v>44953</v>
      </c>
      <c r="R42" s="125"/>
      <c r="S42" s="127"/>
      <c r="T42" s="127"/>
      <c r="U42" s="127"/>
      <c r="V42" s="148"/>
      <c r="W42" s="133"/>
      <c r="X42" s="107">
        <v>28</v>
      </c>
    </row>
    <row r="43" spans="1:24" s="107" customFormat="1" x14ac:dyDescent="0.3">
      <c r="A43" s="379">
        <v>10</v>
      </c>
      <c r="B43" s="364" t="s">
        <v>56</v>
      </c>
      <c r="C43" s="364" t="s">
        <v>146</v>
      </c>
      <c r="D43" s="364" t="s">
        <v>147</v>
      </c>
      <c r="E43" s="386" t="s">
        <v>214</v>
      </c>
      <c r="F43" s="370">
        <v>44952</v>
      </c>
      <c r="G43" s="364" t="s">
        <v>213</v>
      </c>
      <c r="H43" s="373">
        <v>212400</v>
      </c>
      <c r="I43" s="376">
        <f>IF(X43 = 29, H43 + SUM(S43:S60) - SUM(T43:T60) - SUM(P43:P60) - V43,0)</f>
        <v>114700</v>
      </c>
      <c r="J43" s="364" t="s">
        <v>167</v>
      </c>
      <c r="K43" s="364" t="s">
        <v>168</v>
      </c>
      <c r="L43" s="364" t="s">
        <v>146</v>
      </c>
      <c r="M43" s="364"/>
      <c r="N43" s="302">
        <v>44957</v>
      </c>
      <c r="O43" s="370" t="s">
        <v>181</v>
      </c>
      <c r="P43" s="293">
        <v>4080</v>
      </c>
      <c r="Q43" s="294">
        <v>44964</v>
      </c>
      <c r="R43" s="295"/>
      <c r="S43" s="293"/>
      <c r="T43" s="293"/>
      <c r="U43" s="373"/>
      <c r="V43" s="381"/>
      <c r="W43" s="383"/>
      <c r="X43" s="107">
        <v>29</v>
      </c>
    </row>
    <row r="44" spans="1:24" s="132" customFormat="1" x14ac:dyDescent="0.3">
      <c r="A44" s="389"/>
      <c r="B44" s="365"/>
      <c r="C44" s="365"/>
      <c r="D44" s="365"/>
      <c r="E44" s="387"/>
      <c r="F44" s="371"/>
      <c r="G44" s="365"/>
      <c r="H44" s="374"/>
      <c r="I44" s="377"/>
      <c r="J44" s="365"/>
      <c r="K44" s="365"/>
      <c r="L44" s="365"/>
      <c r="M44" s="365"/>
      <c r="N44" s="303">
        <v>44957</v>
      </c>
      <c r="O44" s="371"/>
      <c r="P44" s="296">
        <v>4760</v>
      </c>
      <c r="Q44" s="297">
        <v>44964</v>
      </c>
      <c r="R44" s="298"/>
      <c r="S44" s="296"/>
      <c r="T44" s="296"/>
      <c r="U44" s="374"/>
      <c r="V44" s="390"/>
      <c r="W44" s="385"/>
      <c r="X44" s="132">
        <v>29</v>
      </c>
    </row>
    <row r="45" spans="1:24" s="132" customFormat="1" x14ac:dyDescent="0.3">
      <c r="A45" s="389"/>
      <c r="B45" s="365"/>
      <c r="C45" s="365"/>
      <c r="D45" s="365"/>
      <c r="E45" s="387"/>
      <c r="F45" s="371"/>
      <c r="G45" s="365"/>
      <c r="H45" s="374"/>
      <c r="I45" s="377"/>
      <c r="J45" s="365"/>
      <c r="K45" s="365"/>
      <c r="L45" s="365"/>
      <c r="M45" s="365"/>
      <c r="N45" s="303">
        <v>44957</v>
      </c>
      <c r="O45" s="371"/>
      <c r="P45" s="296">
        <v>6720</v>
      </c>
      <c r="Q45" s="297">
        <v>44964</v>
      </c>
      <c r="R45" s="298"/>
      <c r="S45" s="296"/>
      <c r="T45" s="296"/>
      <c r="U45" s="374"/>
      <c r="V45" s="390"/>
      <c r="W45" s="385"/>
      <c r="X45" s="132">
        <v>29</v>
      </c>
    </row>
    <row r="46" spans="1:24" s="134" customFormat="1" x14ac:dyDescent="0.3">
      <c r="A46" s="389"/>
      <c r="B46" s="365"/>
      <c r="C46" s="365"/>
      <c r="D46" s="365"/>
      <c r="E46" s="387"/>
      <c r="F46" s="371"/>
      <c r="G46" s="365"/>
      <c r="H46" s="374"/>
      <c r="I46" s="377"/>
      <c r="J46" s="365"/>
      <c r="K46" s="365"/>
      <c r="L46" s="365"/>
      <c r="M46" s="365"/>
      <c r="N46" s="303">
        <v>44985</v>
      </c>
      <c r="O46" s="371"/>
      <c r="P46" s="296">
        <v>3960</v>
      </c>
      <c r="Q46" s="297">
        <v>44995</v>
      </c>
      <c r="R46" s="298"/>
      <c r="S46" s="296"/>
      <c r="T46" s="296"/>
      <c r="U46" s="374"/>
      <c r="V46" s="390"/>
      <c r="W46" s="385"/>
      <c r="X46" s="134">
        <v>29</v>
      </c>
    </row>
    <row r="47" spans="1:24" s="134" customFormat="1" x14ac:dyDescent="0.3">
      <c r="A47" s="389"/>
      <c r="B47" s="365"/>
      <c r="C47" s="365"/>
      <c r="D47" s="365"/>
      <c r="E47" s="387"/>
      <c r="F47" s="371"/>
      <c r="G47" s="365"/>
      <c r="H47" s="374"/>
      <c r="I47" s="377"/>
      <c r="J47" s="365"/>
      <c r="K47" s="365"/>
      <c r="L47" s="365"/>
      <c r="M47" s="365"/>
      <c r="N47" s="303">
        <v>44985</v>
      </c>
      <c r="O47" s="371"/>
      <c r="P47" s="296">
        <v>4620</v>
      </c>
      <c r="Q47" s="297">
        <v>44995</v>
      </c>
      <c r="R47" s="298"/>
      <c r="S47" s="296"/>
      <c r="T47" s="296"/>
      <c r="U47" s="374"/>
      <c r="V47" s="390"/>
      <c r="W47" s="385"/>
      <c r="X47" s="134">
        <v>29</v>
      </c>
    </row>
    <row r="48" spans="1:24" s="134" customFormat="1" x14ac:dyDescent="0.3">
      <c r="A48" s="389"/>
      <c r="B48" s="365"/>
      <c r="C48" s="365"/>
      <c r="D48" s="365"/>
      <c r="E48" s="387"/>
      <c r="F48" s="371"/>
      <c r="G48" s="365"/>
      <c r="H48" s="374"/>
      <c r="I48" s="377"/>
      <c r="J48" s="365"/>
      <c r="K48" s="365"/>
      <c r="L48" s="365"/>
      <c r="M48" s="365"/>
      <c r="N48" s="303">
        <v>44985</v>
      </c>
      <c r="O48" s="371"/>
      <c r="P48" s="296">
        <v>5760</v>
      </c>
      <c r="Q48" s="297">
        <v>44995</v>
      </c>
      <c r="R48" s="298"/>
      <c r="S48" s="296"/>
      <c r="T48" s="296"/>
      <c r="U48" s="374"/>
      <c r="V48" s="390"/>
      <c r="W48" s="385"/>
      <c r="X48" s="134">
        <v>29</v>
      </c>
    </row>
    <row r="49" spans="1:24" s="176" customFormat="1" x14ac:dyDescent="0.3">
      <c r="A49" s="389"/>
      <c r="B49" s="365"/>
      <c r="C49" s="365"/>
      <c r="D49" s="365"/>
      <c r="E49" s="387"/>
      <c r="F49" s="371"/>
      <c r="G49" s="365"/>
      <c r="H49" s="374"/>
      <c r="I49" s="377"/>
      <c r="J49" s="365"/>
      <c r="K49" s="365"/>
      <c r="L49" s="365"/>
      <c r="M49" s="365"/>
      <c r="N49" s="303">
        <v>45016</v>
      </c>
      <c r="O49" s="371"/>
      <c r="P49" s="296">
        <v>5160</v>
      </c>
      <c r="Q49" s="297">
        <v>45027</v>
      </c>
      <c r="R49" s="298"/>
      <c r="S49" s="296"/>
      <c r="T49" s="296"/>
      <c r="U49" s="374"/>
      <c r="V49" s="390"/>
      <c r="W49" s="385"/>
      <c r="X49" s="176">
        <v>29</v>
      </c>
    </row>
    <row r="50" spans="1:24" s="176" customFormat="1" x14ac:dyDescent="0.3">
      <c r="A50" s="389"/>
      <c r="B50" s="365"/>
      <c r="C50" s="365"/>
      <c r="D50" s="365"/>
      <c r="E50" s="387"/>
      <c r="F50" s="371"/>
      <c r="G50" s="365"/>
      <c r="H50" s="374"/>
      <c r="I50" s="377"/>
      <c r="J50" s="365"/>
      <c r="K50" s="365"/>
      <c r="L50" s="365"/>
      <c r="M50" s="365"/>
      <c r="N50" s="303">
        <v>45016</v>
      </c>
      <c r="O50" s="371"/>
      <c r="P50" s="296">
        <v>6020</v>
      </c>
      <c r="Q50" s="297">
        <v>45027</v>
      </c>
      <c r="R50" s="298"/>
      <c r="S50" s="296"/>
      <c r="T50" s="296"/>
      <c r="U50" s="374"/>
      <c r="V50" s="390"/>
      <c r="W50" s="385"/>
      <c r="X50" s="176">
        <v>29</v>
      </c>
    </row>
    <row r="51" spans="1:24" s="176" customFormat="1" x14ac:dyDescent="0.3">
      <c r="A51" s="389"/>
      <c r="B51" s="365"/>
      <c r="C51" s="365"/>
      <c r="D51" s="365"/>
      <c r="E51" s="387"/>
      <c r="F51" s="371"/>
      <c r="G51" s="365"/>
      <c r="H51" s="374"/>
      <c r="I51" s="377"/>
      <c r="J51" s="365"/>
      <c r="K51" s="365"/>
      <c r="L51" s="365"/>
      <c r="M51" s="365"/>
      <c r="N51" s="303">
        <v>45016</v>
      </c>
      <c r="O51" s="371"/>
      <c r="P51" s="296">
        <v>7440</v>
      </c>
      <c r="Q51" s="297">
        <v>45027</v>
      </c>
      <c r="R51" s="298"/>
      <c r="S51" s="296"/>
      <c r="T51" s="296"/>
      <c r="U51" s="374"/>
      <c r="V51" s="390"/>
      <c r="W51" s="385"/>
      <c r="X51" s="176">
        <v>29</v>
      </c>
    </row>
    <row r="52" spans="1:24" s="209" customFormat="1" x14ac:dyDescent="0.3">
      <c r="A52" s="389"/>
      <c r="B52" s="365"/>
      <c r="C52" s="365"/>
      <c r="D52" s="365"/>
      <c r="E52" s="387"/>
      <c r="F52" s="371"/>
      <c r="G52" s="365"/>
      <c r="H52" s="374"/>
      <c r="I52" s="377"/>
      <c r="J52" s="365"/>
      <c r="K52" s="365"/>
      <c r="L52" s="365"/>
      <c r="M52" s="365"/>
      <c r="N52" s="303">
        <v>45046</v>
      </c>
      <c r="O52" s="371"/>
      <c r="P52" s="296">
        <v>5040</v>
      </c>
      <c r="Q52" s="297">
        <v>45061</v>
      </c>
      <c r="R52" s="298"/>
      <c r="S52" s="296"/>
      <c r="T52" s="296"/>
      <c r="U52" s="374"/>
      <c r="V52" s="390"/>
      <c r="W52" s="385"/>
      <c r="X52" s="209">
        <v>29</v>
      </c>
    </row>
    <row r="53" spans="1:24" s="209" customFormat="1" x14ac:dyDescent="0.3">
      <c r="A53" s="389"/>
      <c r="B53" s="365"/>
      <c r="C53" s="365"/>
      <c r="D53" s="365"/>
      <c r="E53" s="387"/>
      <c r="F53" s="371"/>
      <c r="G53" s="365"/>
      <c r="H53" s="374"/>
      <c r="I53" s="377"/>
      <c r="J53" s="365"/>
      <c r="K53" s="365"/>
      <c r="L53" s="365"/>
      <c r="M53" s="365"/>
      <c r="N53" s="303">
        <v>45046</v>
      </c>
      <c r="O53" s="371"/>
      <c r="P53" s="296">
        <v>5880</v>
      </c>
      <c r="Q53" s="297">
        <v>45061</v>
      </c>
      <c r="R53" s="298"/>
      <c r="S53" s="296"/>
      <c r="T53" s="296"/>
      <c r="U53" s="374"/>
      <c r="V53" s="390"/>
      <c r="W53" s="385"/>
      <c r="X53" s="209">
        <v>29</v>
      </c>
    </row>
    <row r="54" spans="1:24" s="209" customFormat="1" x14ac:dyDescent="0.3">
      <c r="A54" s="389"/>
      <c r="B54" s="365"/>
      <c r="C54" s="365"/>
      <c r="D54" s="365"/>
      <c r="E54" s="387"/>
      <c r="F54" s="371"/>
      <c r="G54" s="365"/>
      <c r="H54" s="374"/>
      <c r="I54" s="377"/>
      <c r="J54" s="365"/>
      <c r="K54" s="365"/>
      <c r="L54" s="365"/>
      <c r="M54" s="365"/>
      <c r="N54" s="303">
        <v>45046</v>
      </c>
      <c r="O54" s="371"/>
      <c r="P54" s="296">
        <v>7200</v>
      </c>
      <c r="Q54" s="297">
        <v>45061</v>
      </c>
      <c r="R54" s="298"/>
      <c r="S54" s="296"/>
      <c r="T54" s="296"/>
      <c r="U54" s="374"/>
      <c r="V54" s="390"/>
      <c r="W54" s="385"/>
      <c r="X54" s="209">
        <v>29</v>
      </c>
    </row>
    <row r="55" spans="1:24" s="249" customFormat="1" x14ac:dyDescent="0.3">
      <c r="A55" s="389"/>
      <c r="B55" s="365"/>
      <c r="C55" s="365"/>
      <c r="D55" s="365"/>
      <c r="E55" s="387"/>
      <c r="F55" s="371"/>
      <c r="G55" s="365"/>
      <c r="H55" s="374"/>
      <c r="I55" s="377"/>
      <c r="J55" s="365"/>
      <c r="K55" s="365"/>
      <c r="L55" s="365"/>
      <c r="M55" s="365"/>
      <c r="N55" s="303">
        <v>45077</v>
      </c>
      <c r="O55" s="371"/>
      <c r="P55" s="296">
        <v>4440</v>
      </c>
      <c r="Q55" s="297">
        <v>45082</v>
      </c>
      <c r="R55" s="298"/>
      <c r="S55" s="296"/>
      <c r="T55" s="296"/>
      <c r="U55" s="374"/>
      <c r="V55" s="390"/>
      <c r="W55" s="385"/>
      <c r="X55" s="249">
        <v>29</v>
      </c>
    </row>
    <row r="56" spans="1:24" s="249" customFormat="1" x14ac:dyDescent="0.3">
      <c r="A56" s="389"/>
      <c r="B56" s="365"/>
      <c r="C56" s="365"/>
      <c r="D56" s="365"/>
      <c r="E56" s="387"/>
      <c r="F56" s="371"/>
      <c r="G56" s="365"/>
      <c r="H56" s="374"/>
      <c r="I56" s="377"/>
      <c r="J56" s="365"/>
      <c r="K56" s="365"/>
      <c r="L56" s="365"/>
      <c r="M56" s="365"/>
      <c r="N56" s="303">
        <v>45077</v>
      </c>
      <c r="O56" s="371"/>
      <c r="P56" s="296">
        <v>5180</v>
      </c>
      <c r="Q56" s="297">
        <v>45082</v>
      </c>
      <c r="R56" s="298"/>
      <c r="S56" s="296"/>
      <c r="T56" s="296"/>
      <c r="U56" s="374"/>
      <c r="V56" s="390"/>
      <c r="W56" s="385"/>
      <c r="X56" s="249">
        <v>29</v>
      </c>
    </row>
    <row r="57" spans="1:24" s="249" customFormat="1" x14ac:dyDescent="0.3">
      <c r="A57" s="389"/>
      <c r="B57" s="365"/>
      <c r="C57" s="365"/>
      <c r="D57" s="365"/>
      <c r="E57" s="387"/>
      <c r="F57" s="371"/>
      <c r="G57" s="365"/>
      <c r="H57" s="374"/>
      <c r="I57" s="377"/>
      <c r="J57" s="365"/>
      <c r="K57" s="365"/>
      <c r="L57" s="365"/>
      <c r="M57" s="365"/>
      <c r="N57" s="303">
        <v>45077</v>
      </c>
      <c r="O57" s="371"/>
      <c r="P57" s="296">
        <v>7440</v>
      </c>
      <c r="Q57" s="297">
        <v>45082</v>
      </c>
      <c r="R57" s="298"/>
      <c r="S57" s="296"/>
      <c r="T57" s="296"/>
      <c r="U57" s="374"/>
      <c r="V57" s="390"/>
      <c r="W57" s="385"/>
      <c r="X57" s="249">
        <v>29</v>
      </c>
    </row>
    <row r="58" spans="1:24" s="292" customFormat="1" x14ac:dyDescent="0.3">
      <c r="A58" s="389"/>
      <c r="B58" s="365"/>
      <c r="C58" s="365"/>
      <c r="D58" s="365"/>
      <c r="E58" s="387"/>
      <c r="F58" s="371"/>
      <c r="G58" s="365"/>
      <c r="H58" s="374"/>
      <c r="I58" s="377"/>
      <c r="J58" s="365"/>
      <c r="K58" s="365"/>
      <c r="L58" s="365"/>
      <c r="M58" s="365"/>
      <c r="N58" s="303">
        <v>45107</v>
      </c>
      <c r="O58" s="371"/>
      <c r="P58" s="296">
        <v>3360</v>
      </c>
      <c r="Q58" s="297">
        <v>45118</v>
      </c>
      <c r="R58" s="298"/>
      <c r="S58" s="296"/>
      <c r="T58" s="296"/>
      <c r="U58" s="374"/>
      <c r="V58" s="390"/>
      <c r="W58" s="385"/>
      <c r="X58" s="292">
        <v>29</v>
      </c>
    </row>
    <row r="59" spans="1:24" s="292" customFormat="1" x14ac:dyDescent="0.3">
      <c r="A59" s="389"/>
      <c r="B59" s="365"/>
      <c r="C59" s="365"/>
      <c r="D59" s="365"/>
      <c r="E59" s="387"/>
      <c r="F59" s="371"/>
      <c r="G59" s="365"/>
      <c r="H59" s="374"/>
      <c r="I59" s="377"/>
      <c r="J59" s="365"/>
      <c r="K59" s="365"/>
      <c r="L59" s="365"/>
      <c r="M59" s="365"/>
      <c r="N59" s="303">
        <v>45107</v>
      </c>
      <c r="O59" s="371"/>
      <c r="P59" s="296">
        <v>3920</v>
      </c>
      <c r="Q59" s="297">
        <v>45118</v>
      </c>
      <c r="R59" s="298"/>
      <c r="S59" s="296"/>
      <c r="T59" s="296"/>
      <c r="U59" s="374"/>
      <c r="V59" s="390"/>
      <c r="W59" s="385"/>
      <c r="X59" s="292">
        <v>29</v>
      </c>
    </row>
    <row r="60" spans="1:24" s="292" customFormat="1" x14ac:dyDescent="0.3">
      <c r="A60" s="380"/>
      <c r="B60" s="366"/>
      <c r="C60" s="366"/>
      <c r="D60" s="366"/>
      <c r="E60" s="388"/>
      <c r="F60" s="372"/>
      <c r="G60" s="366"/>
      <c r="H60" s="375"/>
      <c r="I60" s="378"/>
      <c r="J60" s="366"/>
      <c r="K60" s="366"/>
      <c r="L60" s="366"/>
      <c r="M60" s="366"/>
      <c r="N60" s="304">
        <v>45107</v>
      </c>
      <c r="O60" s="372"/>
      <c r="P60" s="299">
        <v>6720</v>
      </c>
      <c r="Q60" s="300">
        <v>45118</v>
      </c>
      <c r="R60" s="301"/>
      <c r="S60" s="299"/>
      <c r="T60" s="299"/>
      <c r="U60" s="375"/>
      <c r="V60" s="382"/>
      <c r="W60" s="384"/>
      <c r="X60" s="292">
        <v>29</v>
      </c>
    </row>
    <row r="61" spans="1:24" s="107" customFormat="1" ht="144" x14ac:dyDescent="0.3">
      <c r="A61" s="124">
        <v>11</v>
      </c>
      <c r="B61" s="125" t="s">
        <v>56</v>
      </c>
      <c r="C61" s="125" t="s">
        <v>146</v>
      </c>
      <c r="D61" s="125" t="s">
        <v>147</v>
      </c>
      <c r="E61" s="149">
        <v>17371</v>
      </c>
      <c r="F61" s="135">
        <v>44959</v>
      </c>
      <c r="G61" s="125" t="s">
        <v>215</v>
      </c>
      <c r="H61" s="127">
        <v>2800</v>
      </c>
      <c r="I61" s="128">
        <f>IF(X61 = 30, H61 + SUM(S61:S61) - SUM(T61:T61) - SUM(P61:P61) - V61,0)</f>
        <v>0</v>
      </c>
      <c r="J61" s="125" t="s">
        <v>216</v>
      </c>
      <c r="K61" s="125" t="s">
        <v>217</v>
      </c>
      <c r="L61" s="125" t="s">
        <v>146</v>
      </c>
      <c r="M61" s="125"/>
      <c r="N61" s="135">
        <v>44970</v>
      </c>
      <c r="O61" s="135" t="s">
        <v>181</v>
      </c>
      <c r="P61" s="127">
        <v>2800</v>
      </c>
      <c r="Q61" s="126">
        <v>44971</v>
      </c>
      <c r="R61" s="125"/>
      <c r="S61" s="127"/>
      <c r="T61" s="127"/>
      <c r="U61" s="127"/>
      <c r="V61" s="148"/>
      <c r="W61" s="133"/>
      <c r="X61" s="107">
        <v>30</v>
      </c>
    </row>
    <row r="62" spans="1:24" s="107" customFormat="1" ht="144" x14ac:dyDescent="0.3">
      <c r="A62" s="124">
        <v>12</v>
      </c>
      <c r="B62" s="125" t="s">
        <v>56</v>
      </c>
      <c r="C62" s="125" t="s">
        <v>146</v>
      </c>
      <c r="D62" s="125" t="s">
        <v>147</v>
      </c>
      <c r="E62" s="149">
        <v>45026</v>
      </c>
      <c r="F62" s="135">
        <v>44959</v>
      </c>
      <c r="G62" s="125" t="s">
        <v>218</v>
      </c>
      <c r="H62" s="127">
        <v>9000</v>
      </c>
      <c r="I62" s="128">
        <f>IF(X62 = 31, H62 + SUM(S62:S62) - SUM(T62:T62) - SUM(P62:P62) - V62,0)</f>
        <v>0</v>
      </c>
      <c r="J62" s="125" t="s">
        <v>219</v>
      </c>
      <c r="K62" s="125" t="s">
        <v>220</v>
      </c>
      <c r="L62" s="125" t="s">
        <v>146</v>
      </c>
      <c r="M62" s="125"/>
      <c r="N62" s="135">
        <v>44978</v>
      </c>
      <c r="O62" s="135" t="s">
        <v>181</v>
      </c>
      <c r="P62" s="127">
        <v>9000</v>
      </c>
      <c r="Q62" s="126">
        <v>44978</v>
      </c>
      <c r="R62" s="125"/>
      <c r="S62" s="127"/>
      <c r="T62" s="127"/>
      <c r="U62" s="127"/>
      <c r="V62" s="148"/>
      <c r="W62" s="133"/>
      <c r="X62" s="107">
        <v>31</v>
      </c>
    </row>
    <row r="63" spans="1:24" s="107" customFormat="1" ht="144" x14ac:dyDescent="0.3">
      <c r="A63" s="124">
        <v>13</v>
      </c>
      <c r="B63" s="125" t="s">
        <v>56</v>
      </c>
      <c r="C63" s="125" t="s">
        <v>146</v>
      </c>
      <c r="D63" s="125" t="s">
        <v>147</v>
      </c>
      <c r="E63" s="149">
        <v>40</v>
      </c>
      <c r="F63" s="135">
        <v>44972</v>
      </c>
      <c r="G63" s="125" t="s">
        <v>223</v>
      </c>
      <c r="H63" s="127">
        <v>6900</v>
      </c>
      <c r="I63" s="128">
        <f>IF(X63 = 32, H63 + SUM(S63:S63) - SUM(T63:T63) - SUM(P63:P63) - V63,0)</f>
        <v>0</v>
      </c>
      <c r="J63" s="125" t="s">
        <v>222</v>
      </c>
      <c r="K63" s="125" t="s">
        <v>221</v>
      </c>
      <c r="L63" s="125" t="s">
        <v>146</v>
      </c>
      <c r="M63" s="125"/>
      <c r="N63" s="135">
        <v>44979</v>
      </c>
      <c r="O63" s="135" t="s">
        <v>181</v>
      </c>
      <c r="P63" s="127">
        <v>6900</v>
      </c>
      <c r="Q63" s="126">
        <v>44979</v>
      </c>
      <c r="R63" s="125"/>
      <c r="S63" s="127"/>
      <c r="T63" s="127"/>
      <c r="U63" s="127"/>
      <c r="V63" s="148"/>
      <c r="W63" s="133"/>
      <c r="X63" s="107">
        <v>32</v>
      </c>
    </row>
    <row r="64" spans="1:24" s="107" customFormat="1" ht="144" x14ac:dyDescent="0.3">
      <c r="A64" s="151">
        <v>14</v>
      </c>
      <c r="B64" s="152" t="s">
        <v>56</v>
      </c>
      <c r="C64" s="152" t="s">
        <v>146</v>
      </c>
      <c r="D64" s="152" t="s">
        <v>147</v>
      </c>
      <c r="E64" s="161" t="s">
        <v>230</v>
      </c>
      <c r="F64" s="162">
        <v>44951</v>
      </c>
      <c r="G64" s="152" t="s">
        <v>231</v>
      </c>
      <c r="H64" s="154">
        <v>10000</v>
      </c>
      <c r="I64" s="155">
        <f>IF(X64 = 33, H64 + SUM(S64:S64) - SUM(T64:T64) - SUM(P64:P64) - V64,0)</f>
        <v>0</v>
      </c>
      <c r="J64" s="152" t="s">
        <v>232</v>
      </c>
      <c r="K64" s="152" t="s">
        <v>233</v>
      </c>
      <c r="L64" s="152" t="s">
        <v>146</v>
      </c>
      <c r="M64" s="152"/>
      <c r="N64" s="162"/>
      <c r="O64" s="162" t="s">
        <v>181</v>
      </c>
      <c r="P64" s="154">
        <v>10000</v>
      </c>
      <c r="Q64" s="153">
        <v>45002</v>
      </c>
      <c r="R64" s="152"/>
      <c r="S64" s="154"/>
      <c r="T64" s="154"/>
      <c r="U64" s="154"/>
      <c r="V64" s="156"/>
      <c r="W64" s="157"/>
      <c r="X64" s="107">
        <v>33</v>
      </c>
    </row>
    <row r="65" spans="1:24" s="107" customFormat="1" ht="144" x14ac:dyDescent="0.3">
      <c r="A65" s="151">
        <v>15</v>
      </c>
      <c r="B65" s="152" t="s">
        <v>56</v>
      </c>
      <c r="C65" s="152" t="s">
        <v>146</v>
      </c>
      <c r="D65" s="152" t="s">
        <v>147</v>
      </c>
      <c r="E65" s="161">
        <v>49</v>
      </c>
      <c r="F65" s="162">
        <v>44994</v>
      </c>
      <c r="G65" s="152" t="s">
        <v>238</v>
      </c>
      <c r="H65" s="154">
        <v>9200</v>
      </c>
      <c r="I65" s="155">
        <f>IF(X65 = 34, H65 + SUM(S65:S65) - SUM(T65:T65) - SUM(P65:P65) - V65,0)</f>
        <v>0</v>
      </c>
      <c r="J65" s="125" t="s">
        <v>222</v>
      </c>
      <c r="K65" s="125" t="s">
        <v>221</v>
      </c>
      <c r="L65" s="152" t="s">
        <v>146</v>
      </c>
      <c r="M65" s="152"/>
      <c r="N65" s="162"/>
      <c r="O65" s="162" t="s">
        <v>181</v>
      </c>
      <c r="P65" s="154">
        <v>9200</v>
      </c>
      <c r="Q65" s="153">
        <v>45002</v>
      </c>
      <c r="R65" s="152"/>
      <c r="S65" s="154"/>
      <c r="T65" s="154"/>
      <c r="U65" s="154"/>
      <c r="V65" s="156"/>
      <c r="W65" s="157"/>
      <c r="X65" s="107">
        <v>34</v>
      </c>
    </row>
    <row r="66" spans="1:24" s="107" customFormat="1" ht="75" customHeight="1" x14ac:dyDescent="0.3">
      <c r="A66" s="425">
        <v>16</v>
      </c>
      <c r="B66" s="434" t="s">
        <v>56</v>
      </c>
      <c r="C66" s="434" t="s">
        <v>146</v>
      </c>
      <c r="D66" s="434" t="s">
        <v>147</v>
      </c>
      <c r="E66" s="449" t="s">
        <v>239</v>
      </c>
      <c r="F66" s="428">
        <v>45000</v>
      </c>
      <c r="G66" s="434" t="s">
        <v>240</v>
      </c>
      <c r="H66" s="431">
        <v>1400</v>
      </c>
      <c r="I66" s="446">
        <f>IF(X66 = 35, H66 + SUM(S66:S67) - SUM(T66:T67) - SUM(P66:P67) - V66,0)</f>
        <v>0</v>
      </c>
      <c r="J66" s="434" t="s">
        <v>241</v>
      </c>
      <c r="K66" s="434" t="s">
        <v>242</v>
      </c>
      <c r="L66" s="434" t="s">
        <v>146</v>
      </c>
      <c r="M66" s="434"/>
      <c r="N66" s="197"/>
      <c r="O66" s="428" t="s">
        <v>243</v>
      </c>
      <c r="P66" s="188">
        <v>420</v>
      </c>
      <c r="Q66" s="189">
        <v>45006</v>
      </c>
      <c r="R66" s="190"/>
      <c r="S66" s="188"/>
      <c r="T66" s="188"/>
      <c r="U66" s="431"/>
      <c r="V66" s="437"/>
      <c r="W66" s="440"/>
      <c r="X66" s="107">
        <v>35</v>
      </c>
    </row>
    <row r="67" spans="1:24" s="176" customFormat="1" x14ac:dyDescent="0.3">
      <c r="A67" s="427"/>
      <c r="B67" s="436"/>
      <c r="C67" s="436"/>
      <c r="D67" s="436"/>
      <c r="E67" s="450"/>
      <c r="F67" s="430"/>
      <c r="G67" s="436"/>
      <c r="H67" s="433"/>
      <c r="I67" s="448"/>
      <c r="J67" s="436"/>
      <c r="K67" s="436"/>
      <c r="L67" s="436"/>
      <c r="M67" s="436"/>
      <c r="N67" s="199"/>
      <c r="O67" s="430"/>
      <c r="P67" s="194">
        <v>980</v>
      </c>
      <c r="Q67" s="195">
        <v>45021</v>
      </c>
      <c r="R67" s="196"/>
      <c r="S67" s="194"/>
      <c r="T67" s="194"/>
      <c r="U67" s="433"/>
      <c r="V67" s="439"/>
      <c r="W67" s="442"/>
      <c r="X67" s="176">
        <v>35</v>
      </c>
    </row>
    <row r="68" spans="1:24" s="107" customFormat="1" ht="168.75" customHeight="1" x14ac:dyDescent="0.3">
      <c r="A68" s="500">
        <v>17</v>
      </c>
      <c r="B68" s="506" t="s">
        <v>56</v>
      </c>
      <c r="C68" s="506" t="s">
        <v>146</v>
      </c>
      <c r="D68" s="506" t="s">
        <v>147</v>
      </c>
      <c r="E68" s="512">
        <v>13</v>
      </c>
      <c r="F68" s="502">
        <v>45001</v>
      </c>
      <c r="G68" s="506" t="s">
        <v>244</v>
      </c>
      <c r="H68" s="504">
        <v>15363</v>
      </c>
      <c r="I68" s="514">
        <f>IF(X68 = 36, H68 + SUM(S68:S69) - SUM(T68:T69) - SUM(P68:P69) - V68,0)</f>
        <v>0</v>
      </c>
      <c r="J68" s="506" t="s">
        <v>245</v>
      </c>
      <c r="K68" s="506" t="s">
        <v>246</v>
      </c>
      <c r="L68" s="506" t="s">
        <v>146</v>
      </c>
      <c r="M68" s="506"/>
      <c r="N68" s="163">
        <v>45005</v>
      </c>
      <c r="O68" s="502" t="s">
        <v>235</v>
      </c>
      <c r="P68" s="164">
        <v>12675</v>
      </c>
      <c r="Q68" s="165">
        <v>45006</v>
      </c>
      <c r="R68" s="166"/>
      <c r="S68" s="164"/>
      <c r="T68" s="164"/>
      <c r="U68" s="504"/>
      <c r="V68" s="508"/>
      <c r="W68" s="510"/>
      <c r="X68" s="107">
        <v>36</v>
      </c>
    </row>
    <row r="69" spans="1:24" s="150" customFormat="1" x14ac:dyDescent="0.3">
      <c r="A69" s="501"/>
      <c r="B69" s="507"/>
      <c r="C69" s="507"/>
      <c r="D69" s="507"/>
      <c r="E69" s="513"/>
      <c r="F69" s="503"/>
      <c r="G69" s="507"/>
      <c r="H69" s="505"/>
      <c r="I69" s="515"/>
      <c r="J69" s="507"/>
      <c r="K69" s="507"/>
      <c r="L69" s="507"/>
      <c r="M69" s="507"/>
      <c r="N69" s="167">
        <v>45005</v>
      </c>
      <c r="O69" s="503"/>
      <c r="P69" s="168">
        <v>2688</v>
      </c>
      <c r="Q69" s="169">
        <v>45006</v>
      </c>
      <c r="R69" s="170"/>
      <c r="S69" s="168"/>
      <c r="T69" s="168"/>
      <c r="U69" s="505"/>
      <c r="V69" s="509"/>
      <c r="W69" s="511"/>
      <c r="X69" s="150">
        <v>36</v>
      </c>
    </row>
    <row r="70" spans="1:24" s="107" customFormat="1" ht="168.75" customHeight="1" x14ac:dyDescent="0.3">
      <c r="A70" s="379">
        <v>18</v>
      </c>
      <c r="B70" s="364" t="s">
        <v>56</v>
      </c>
      <c r="C70" s="364" t="s">
        <v>146</v>
      </c>
      <c r="D70" s="364" t="s">
        <v>147</v>
      </c>
      <c r="E70" s="367" t="s">
        <v>255</v>
      </c>
      <c r="F70" s="370">
        <v>44953</v>
      </c>
      <c r="G70" s="364" t="s">
        <v>256</v>
      </c>
      <c r="H70" s="373">
        <v>12096</v>
      </c>
      <c r="I70" s="376">
        <f>IF(X70 = 38, H70 + SUM(S70:S72) - SUM(T70:T72) - SUM(P70:P72) - V70,0)</f>
        <v>3024</v>
      </c>
      <c r="J70" s="364" t="s">
        <v>257</v>
      </c>
      <c r="K70" s="364" t="s">
        <v>258</v>
      </c>
      <c r="L70" s="364" t="s">
        <v>146</v>
      </c>
      <c r="M70" s="364"/>
      <c r="N70" s="302"/>
      <c r="O70" s="370" t="s">
        <v>181</v>
      </c>
      <c r="P70" s="293">
        <v>6048</v>
      </c>
      <c r="Q70" s="294">
        <v>45035</v>
      </c>
      <c r="R70" s="295"/>
      <c r="S70" s="293"/>
      <c r="T70" s="293"/>
      <c r="U70" s="373"/>
      <c r="V70" s="381"/>
      <c r="W70" s="383"/>
      <c r="X70" s="107">
        <v>38</v>
      </c>
    </row>
    <row r="71" spans="1:24" s="209" customFormat="1" x14ac:dyDescent="0.3">
      <c r="A71" s="389"/>
      <c r="B71" s="365"/>
      <c r="C71" s="365"/>
      <c r="D71" s="365"/>
      <c r="E71" s="368"/>
      <c r="F71" s="371"/>
      <c r="G71" s="365"/>
      <c r="H71" s="374"/>
      <c r="I71" s="377"/>
      <c r="J71" s="365"/>
      <c r="K71" s="365"/>
      <c r="L71" s="365"/>
      <c r="M71" s="365"/>
      <c r="N71" s="303"/>
      <c r="O71" s="371"/>
      <c r="P71" s="296">
        <v>1512</v>
      </c>
      <c r="Q71" s="297">
        <v>45051</v>
      </c>
      <c r="R71" s="298"/>
      <c r="S71" s="296"/>
      <c r="T71" s="296"/>
      <c r="U71" s="374"/>
      <c r="V71" s="390"/>
      <c r="W71" s="385"/>
      <c r="X71" s="209">
        <v>38</v>
      </c>
    </row>
    <row r="72" spans="1:24" s="292" customFormat="1" x14ac:dyDescent="0.3">
      <c r="A72" s="380"/>
      <c r="B72" s="366"/>
      <c r="C72" s="366"/>
      <c r="D72" s="366"/>
      <c r="E72" s="369"/>
      <c r="F72" s="372"/>
      <c r="G72" s="366"/>
      <c r="H72" s="375"/>
      <c r="I72" s="378"/>
      <c r="J72" s="366"/>
      <c r="K72" s="366"/>
      <c r="L72" s="366"/>
      <c r="M72" s="366"/>
      <c r="N72" s="304"/>
      <c r="O72" s="372"/>
      <c r="P72" s="299">
        <v>1512</v>
      </c>
      <c r="Q72" s="300">
        <v>45133</v>
      </c>
      <c r="R72" s="301"/>
      <c r="S72" s="299"/>
      <c r="T72" s="299"/>
      <c r="U72" s="375"/>
      <c r="V72" s="382"/>
      <c r="W72" s="384"/>
      <c r="X72" s="292">
        <v>38</v>
      </c>
    </row>
    <row r="73" spans="1:24" s="107" customFormat="1" ht="144" x14ac:dyDescent="0.3">
      <c r="A73" s="177">
        <v>19</v>
      </c>
      <c r="B73" s="178" t="s">
        <v>56</v>
      </c>
      <c r="C73" s="178" t="s">
        <v>146</v>
      </c>
      <c r="D73" s="178" t="s">
        <v>147</v>
      </c>
      <c r="E73" s="179">
        <v>5</v>
      </c>
      <c r="F73" s="184">
        <v>45015</v>
      </c>
      <c r="G73" s="178" t="s">
        <v>196</v>
      </c>
      <c r="H73" s="180">
        <v>25212</v>
      </c>
      <c r="I73" s="181">
        <f>IF(X73 = 39, H73 + SUM(S73:S73) - SUM(T73:T73) - SUM(P73:P73) - V73,0)</f>
        <v>0</v>
      </c>
      <c r="J73" s="178" t="s">
        <v>260</v>
      </c>
      <c r="K73" s="178" t="s">
        <v>259</v>
      </c>
      <c r="L73" s="178" t="s">
        <v>146</v>
      </c>
      <c r="M73" s="178"/>
      <c r="N73" s="184"/>
      <c r="O73" s="184" t="s">
        <v>181</v>
      </c>
      <c r="P73" s="180">
        <v>25212</v>
      </c>
      <c r="Q73" s="182">
        <v>45044</v>
      </c>
      <c r="R73" s="178"/>
      <c r="S73" s="180"/>
      <c r="T73" s="180"/>
      <c r="U73" s="180"/>
      <c r="V73" s="183"/>
      <c r="W73" s="175"/>
      <c r="X73" s="107">
        <v>39</v>
      </c>
    </row>
    <row r="74" spans="1:24" s="107" customFormat="1" ht="144" x14ac:dyDescent="0.3">
      <c r="A74" s="177">
        <v>20</v>
      </c>
      <c r="B74" s="178" t="s">
        <v>56</v>
      </c>
      <c r="C74" s="178" t="s">
        <v>146</v>
      </c>
      <c r="D74" s="178" t="s">
        <v>147</v>
      </c>
      <c r="E74" s="179" t="s">
        <v>261</v>
      </c>
      <c r="F74" s="184">
        <v>45034</v>
      </c>
      <c r="G74" s="178" t="s">
        <v>262</v>
      </c>
      <c r="H74" s="180">
        <v>7600</v>
      </c>
      <c r="I74" s="181">
        <f>IF(X74 = 40, H74 + SUM(S74:S74) - SUM(T74:T74) - SUM(P74:P74) - V74,0)</f>
        <v>0</v>
      </c>
      <c r="J74" s="178" t="s">
        <v>263</v>
      </c>
      <c r="K74" s="178" t="s">
        <v>264</v>
      </c>
      <c r="L74" s="178" t="s">
        <v>146</v>
      </c>
      <c r="M74" s="178"/>
      <c r="N74" s="184"/>
      <c r="O74" s="184" t="s">
        <v>181</v>
      </c>
      <c r="P74" s="180">
        <v>7600</v>
      </c>
      <c r="Q74" s="182">
        <v>45035</v>
      </c>
      <c r="R74" s="178"/>
      <c r="S74" s="180"/>
      <c r="T74" s="180"/>
      <c r="U74" s="180"/>
      <c r="V74" s="183"/>
      <c r="W74" s="175"/>
      <c r="X74" s="107">
        <v>40</v>
      </c>
    </row>
    <row r="75" spans="1:24" s="107" customFormat="1" ht="144" x14ac:dyDescent="0.3">
      <c r="A75" s="177">
        <v>21</v>
      </c>
      <c r="B75" s="178" t="s">
        <v>56</v>
      </c>
      <c r="C75" s="178" t="s">
        <v>146</v>
      </c>
      <c r="D75" s="178" t="s">
        <v>147</v>
      </c>
      <c r="E75" s="179" t="s">
        <v>266</v>
      </c>
      <c r="F75" s="184">
        <v>45016</v>
      </c>
      <c r="G75" s="178" t="s">
        <v>267</v>
      </c>
      <c r="H75" s="180">
        <v>5000</v>
      </c>
      <c r="I75" s="181">
        <f>IF(X75 = 41, H75 + SUM(S75:S75) - SUM(T75:T75) - SUM(P75:P75) - V75,0)</f>
        <v>0</v>
      </c>
      <c r="J75" s="178" t="s">
        <v>268</v>
      </c>
      <c r="K75" s="178" t="s">
        <v>269</v>
      </c>
      <c r="L75" s="178" t="s">
        <v>146</v>
      </c>
      <c r="M75" s="178"/>
      <c r="N75" s="184"/>
      <c r="O75" s="184" t="s">
        <v>181</v>
      </c>
      <c r="P75" s="180">
        <v>5000</v>
      </c>
      <c r="Q75" s="182">
        <v>45023</v>
      </c>
      <c r="R75" s="178"/>
      <c r="S75" s="180"/>
      <c r="T75" s="180"/>
      <c r="U75" s="180"/>
      <c r="V75" s="183"/>
      <c r="W75" s="175"/>
      <c r="X75" s="107">
        <v>41</v>
      </c>
    </row>
    <row r="76" spans="1:24" s="107" customFormat="1" ht="144" x14ac:dyDescent="0.3">
      <c r="A76" s="177">
        <v>22</v>
      </c>
      <c r="B76" s="178" t="s">
        <v>56</v>
      </c>
      <c r="C76" s="178" t="s">
        <v>146</v>
      </c>
      <c r="D76" s="178" t="s">
        <v>147</v>
      </c>
      <c r="E76" s="179" t="s">
        <v>273</v>
      </c>
      <c r="F76" s="184">
        <v>45020</v>
      </c>
      <c r="G76" s="178" t="s">
        <v>272</v>
      </c>
      <c r="H76" s="180">
        <v>3000</v>
      </c>
      <c r="I76" s="181">
        <f>IF(X76 = 42, H76 + SUM(S76:S76) - SUM(T76:T76) - SUM(P76:P76) - V76,0)</f>
        <v>0</v>
      </c>
      <c r="J76" s="178" t="s">
        <v>271</v>
      </c>
      <c r="K76" s="178" t="s">
        <v>270</v>
      </c>
      <c r="L76" s="178" t="s">
        <v>146</v>
      </c>
      <c r="M76" s="178"/>
      <c r="N76" s="184"/>
      <c r="O76" s="184" t="s">
        <v>235</v>
      </c>
      <c r="P76" s="180">
        <v>3000</v>
      </c>
      <c r="Q76" s="182">
        <v>45023</v>
      </c>
      <c r="R76" s="178"/>
      <c r="S76" s="180"/>
      <c r="T76" s="180"/>
      <c r="U76" s="180"/>
      <c r="V76" s="183"/>
      <c r="W76" s="175"/>
      <c r="X76" s="107">
        <v>42</v>
      </c>
    </row>
    <row r="77" spans="1:24" s="107" customFormat="1" ht="144" x14ac:dyDescent="0.3">
      <c r="A77" s="177">
        <v>23</v>
      </c>
      <c r="B77" s="178" t="s">
        <v>56</v>
      </c>
      <c r="C77" s="178" t="s">
        <v>146</v>
      </c>
      <c r="D77" s="178" t="s">
        <v>147</v>
      </c>
      <c r="E77" s="179" t="s">
        <v>284</v>
      </c>
      <c r="F77" s="184">
        <v>45026</v>
      </c>
      <c r="G77" s="178" t="s">
        <v>287</v>
      </c>
      <c r="H77" s="180">
        <v>14422.5</v>
      </c>
      <c r="I77" s="181">
        <f>IF(X77 = 43, H77 + SUM(S77:S77) - SUM(T77:T77) - SUM(P77:P77) - V77,0)</f>
        <v>0</v>
      </c>
      <c r="J77" s="178" t="s">
        <v>286</v>
      </c>
      <c r="K77" s="178" t="s">
        <v>285</v>
      </c>
      <c r="L77" s="178" t="s">
        <v>146</v>
      </c>
      <c r="M77" s="178"/>
      <c r="N77" s="184">
        <v>45062</v>
      </c>
      <c r="O77" s="184" t="s">
        <v>181</v>
      </c>
      <c r="P77" s="180">
        <v>14422.5</v>
      </c>
      <c r="Q77" s="182">
        <v>45064</v>
      </c>
      <c r="R77" s="178"/>
      <c r="S77" s="180"/>
      <c r="T77" s="180"/>
      <c r="U77" s="180"/>
      <c r="V77" s="183"/>
      <c r="W77" s="175"/>
      <c r="X77" s="107">
        <v>43</v>
      </c>
    </row>
    <row r="78" spans="1:24" s="107" customFormat="1" ht="144" x14ac:dyDescent="0.3">
      <c r="A78" s="177">
        <v>24</v>
      </c>
      <c r="B78" s="178" t="s">
        <v>56</v>
      </c>
      <c r="C78" s="178" t="s">
        <v>146</v>
      </c>
      <c r="D78" s="178" t="s">
        <v>147</v>
      </c>
      <c r="E78" s="179">
        <v>19</v>
      </c>
      <c r="F78" s="184">
        <v>45026</v>
      </c>
      <c r="G78" s="178" t="s">
        <v>59</v>
      </c>
      <c r="H78" s="180">
        <v>4485</v>
      </c>
      <c r="I78" s="181">
        <f>IF(X78 = 44, H78 + SUM(S78:S78) - SUM(T78:T78) - SUM(P78:P78) - V78,0)</f>
        <v>0</v>
      </c>
      <c r="J78" s="178" t="s">
        <v>289</v>
      </c>
      <c r="K78" s="178" t="s">
        <v>288</v>
      </c>
      <c r="L78" s="178" t="s">
        <v>146</v>
      </c>
      <c r="M78" s="178"/>
      <c r="N78" s="184"/>
      <c r="O78" s="184" t="s">
        <v>235</v>
      </c>
      <c r="P78" s="180">
        <v>4485</v>
      </c>
      <c r="Q78" s="182">
        <v>45030</v>
      </c>
      <c r="R78" s="178"/>
      <c r="S78" s="180"/>
      <c r="T78" s="180"/>
      <c r="U78" s="180"/>
      <c r="V78" s="183"/>
      <c r="W78" s="175"/>
      <c r="X78" s="107">
        <v>44</v>
      </c>
    </row>
    <row r="79" spans="1:24" s="107" customFormat="1" ht="144" x14ac:dyDescent="0.3">
      <c r="A79" s="177">
        <v>25</v>
      </c>
      <c r="B79" s="178" t="s">
        <v>56</v>
      </c>
      <c r="C79" s="178" t="s">
        <v>146</v>
      </c>
      <c r="D79" s="178" t="s">
        <v>147</v>
      </c>
      <c r="E79" s="179">
        <v>10</v>
      </c>
      <c r="F79" s="184">
        <v>45043</v>
      </c>
      <c r="G79" s="178" t="s">
        <v>295</v>
      </c>
      <c r="H79" s="180">
        <v>4590</v>
      </c>
      <c r="I79" s="181">
        <f>IF(X79 = 45, H79 + SUM(S79:S79) - SUM(T79:T79) - SUM(P79:P79) - V79,0)</f>
        <v>0</v>
      </c>
      <c r="J79" s="178" t="s">
        <v>296</v>
      </c>
      <c r="K79" s="178" t="s">
        <v>297</v>
      </c>
      <c r="L79" s="178" t="s">
        <v>146</v>
      </c>
      <c r="M79" s="178"/>
      <c r="N79" s="184"/>
      <c r="O79" s="184" t="s">
        <v>181</v>
      </c>
      <c r="P79" s="180">
        <v>4590</v>
      </c>
      <c r="Q79" s="182">
        <v>45135</v>
      </c>
      <c r="R79" s="178"/>
      <c r="S79" s="180"/>
      <c r="T79" s="180"/>
      <c r="U79" s="180"/>
      <c r="V79" s="183"/>
      <c r="W79" s="175"/>
      <c r="X79" s="107">
        <v>45</v>
      </c>
    </row>
    <row r="80" spans="1:24" s="107" customFormat="1" ht="144" x14ac:dyDescent="0.3">
      <c r="A80" s="211">
        <v>26</v>
      </c>
      <c r="B80" s="212" t="s">
        <v>56</v>
      </c>
      <c r="C80" s="212" t="s">
        <v>146</v>
      </c>
      <c r="D80" s="212" t="s">
        <v>147</v>
      </c>
      <c r="E80" s="213">
        <v>24</v>
      </c>
      <c r="F80" s="234">
        <v>45050</v>
      </c>
      <c r="G80" s="212" t="s">
        <v>302</v>
      </c>
      <c r="H80" s="214">
        <v>3750</v>
      </c>
      <c r="I80" s="215">
        <f>IF(X80 = 46, H80 + SUM(S80:S80) - SUM(T80:T80) - SUM(P80:P80) - V80,0)</f>
        <v>0</v>
      </c>
      <c r="J80" s="212" t="s">
        <v>303</v>
      </c>
      <c r="K80" s="212" t="s">
        <v>304</v>
      </c>
      <c r="L80" s="212" t="s">
        <v>146</v>
      </c>
      <c r="M80" s="212"/>
      <c r="N80" s="234"/>
      <c r="O80" s="234" t="s">
        <v>181</v>
      </c>
      <c r="P80" s="214">
        <v>3750</v>
      </c>
      <c r="Q80" s="217">
        <v>45061</v>
      </c>
      <c r="R80" s="212"/>
      <c r="S80" s="214"/>
      <c r="T80" s="214"/>
      <c r="U80" s="214"/>
      <c r="V80" s="216"/>
      <c r="W80" s="210"/>
      <c r="X80" s="107">
        <v>46</v>
      </c>
    </row>
    <row r="81" spans="1:24" s="107" customFormat="1" ht="36" x14ac:dyDescent="0.3">
      <c r="A81" s="211">
        <v>27</v>
      </c>
      <c r="B81" s="212" t="s">
        <v>56</v>
      </c>
      <c r="C81" s="212" t="s">
        <v>146</v>
      </c>
      <c r="D81" s="212" t="s">
        <v>147</v>
      </c>
      <c r="E81" s="213" t="s">
        <v>307</v>
      </c>
      <c r="F81" s="234">
        <v>45061</v>
      </c>
      <c r="G81" s="212" t="s">
        <v>308</v>
      </c>
      <c r="H81" s="214">
        <v>7348.98</v>
      </c>
      <c r="I81" s="215">
        <f>IF(X81 = 47, H81 + SUM(S81:S81) - SUM(T81:T81) - SUM(P81:P81) - V81,0)</f>
        <v>0</v>
      </c>
      <c r="J81" s="212" t="s">
        <v>309</v>
      </c>
      <c r="K81" s="212" t="s">
        <v>310</v>
      </c>
      <c r="L81" s="212" t="s">
        <v>146</v>
      </c>
      <c r="M81" s="212"/>
      <c r="N81" s="234"/>
      <c r="O81" s="234" t="s">
        <v>311</v>
      </c>
      <c r="P81" s="214">
        <v>7348.98</v>
      </c>
      <c r="Q81" s="217">
        <v>45070</v>
      </c>
      <c r="R81" s="212"/>
      <c r="S81" s="214"/>
      <c r="T81" s="214"/>
      <c r="U81" s="214"/>
      <c r="V81" s="216"/>
      <c r="W81" s="210"/>
      <c r="X81" s="107">
        <v>47</v>
      </c>
    </row>
    <row r="82" spans="1:24" s="107" customFormat="1" ht="144" x14ac:dyDescent="0.3">
      <c r="A82" s="211">
        <v>28</v>
      </c>
      <c r="B82" s="212" t="s">
        <v>56</v>
      </c>
      <c r="C82" s="212" t="s">
        <v>146</v>
      </c>
      <c r="D82" s="212" t="s">
        <v>147</v>
      </c>
      <c r="E82" s="213" t="s">
        <v>312</v>
      </c>
      <c r="F82" s="234">
        <v>45068</v>
      </c>
      <c r="G82" s="212" t="s">
        <v>313</v>
      </c>
      <c r="H82" s="214">
        <v>100000</v>
      </c>
      <c r="I82" s="215">
        <f>IF(X82 = 48, H82 + SUM(S82:S82) - SUM(T82:T82) - SUM(P82:P82) - V82,0)</f>
        <v>100000</v>
      </c>
      <c r="J82" s="212" t="s">
        <v>314</v>
      </c>
      <c r="K82" s="212" t="s">
        <v>315</v>
      </c>
      <c r="L82" s="212" t="s">
        <v>146</v>
      </c>
      <c r="M82" s="212"/>
      <c r="N82" s="234"/>
      <c r="O82" s="234" t="s">
        <v>181</v>
      </c>
      <c r="P82" s="214"/>
      <c r="Q82" s="217"/>
      <c r="R82" s="212"/>
      <c r="S82" s="214"/>
      <c r="T82" s="214"/>
      <c r="U82" s="214"/>
      <c r="V82" s="216"/>
      <c r="W82" s="210"/>
      <c r="X82" s="107">
        <v>48</v>
      </c>
    </row>
    <row r="83" spans="1:24" s="107" customFormat="1" ht="144" x14ac:dyDescent="0.3">
      <c r="A83" s="236">
        <v>29</v>
      </c>
      <c r="B83" s="237" t="s">
        <v>56</v>
      </c>
      <c r="C83" s="237" t="s">
        <v>146</v>
      </c>
      <c r="D83" s="237" t="s">
        <v>147</v>
      </c>
      <c r="E83" s="245" t="s">
        <v>321</v>
      </c>
      <c r="F83" s="244">
        <v>45076</v>
      </c>
      <c r="G83" s="237" t="s">
        <v>322</v>
      </c>
      <c r="H83" s="239">
        <v>2320</v>
      </c>
      <c r="I83" s="240">
        <f>IF(X83 = 49, H83 + SUM(S83:S83) - SUM(T83:T83) - SUM(P83:P83) - V83,0)</f>
        <v>0</v>
      </c>
      <c r="J83" s="237" t="s">
        <v>323</v>
      </c>
      <c r="K83" s="237" t="s">
        <v>324</v>
      </c>
      <c r="L83" s="237" t="s">
        <v>146</v>
      </c>
      <c r="M83" s="237"/>
      <c r="N83" s="244">
        <v>45078</v>
      </c>
      <c r="O83" s="244" t="s">
        <v>235</v>
      </c>
      <c r="P83" s="239">
        <v>2320</v>
      </c>
      <c r="Q83" s="238">
        <v>45090</v>
      </c>
      <c r="R83" s="237"/>
      <c r="S83" s="239"/>
      <c r="T83" s="239"/>
      <c r="U83" s="239"/>
      <c r="V83" s="246"/>
      <c r="W83" s="233"/>
      <c r="X83" s="107">
        <v>49</v>
      </c>
    </row>
    <row r="84" spans="1:24" s="107" customFormat="1" ht="168.75" customHeight="1" x14ac:dyDescent="0.3">
      <c r="A84" s="391">
        <v>30</v>
      </c>
      <c r="B84" s="397" t="s">
        <v>56</v>
      </c>
      <c r="C84" s="397" t="s">
        <v>146</v>
      </c>
      <c r="D84" s="397" t="s">
        <v>147</v>
      </c>
      <c r="E84" s="403" t="s">
        <v>325</v>
      </c>
      <c r="F84" s="393">
        <v>45078</v>
      </c>
      <c r="G84" s="397" t="s">
        <v>322</v>
      </c>
      <c r="H84" s="395">
        <v>33017</v>
      </c>
      <c r="I84" s="405">
        <f>IF(X84 = 50, H84 + SUM(S84:S85) - SUM(T84:T85) - SUM(P84:P85) - V84,0)</f>
        <v>0</v>
      </c>
      <c r="J84" s="397" t="s">
        <v>323</v>
      </c>
      <c r="K84" s="397" t="s">
        <v>324</v>
      </c>
      <c r="L84" s="397" t="s">
        <v>146</v>
      </c>
      <c r="M84" s="397"/>
      <c r="N84" s="263"/>
      <c r="O84" s="393" t="s">
        <v>235</v>
      </c>
      <c r="P84" s="257">
        <v>12817</v>
      </c>
      <c r="Q84" s="258">
        <v>45093</v>
      </c>
      <c r="R84" s="259"/>
      <c r="S84" s="257"/>
      <c r="T84" s="257"/>
      <c r="U84" s="395"/>
      <c r="V84" s="399"/>
      <c r="W84" s="401"/>
      <c r="X84" s="107">
        <v>50</v>
      </c>
    </row>
    <row r="85" spans="1:24" s="249" customFormat="1" x14ac:dyDescent="0.3">
      <c r="A85" s="392"/>
      <c r="B85" s="398"/>
      <c r="C85" s="398"/>
      <c r="D85" s="398"/>
      <c r="E85" s="404"/>
      <c r="F85" s="394"/>
      <c r="G85" s="398"/>
      <c r="H85" s="396"/>
      <c r="I85" s="406"/>
      <c r="J85" s="398"/>
      <c r="K85" s="398"/>
      <c r="L85" s="398"/>
      <c r="M85" s="398"/>
      <c r="N85" s="264"/>
      <c r="O85" s="394"/>
      <c r="P85" s="260">
        <v>20200</v>
      </c>
      <c r="Q85" s="261">
        <v>45093</v>
      </c>
      <c r="R85" s="262"/>
      <c r="S85" s="260"/>
      <c r="T85" s="260"/>
      <c r="U85" s="396"/>
      <c r="V85" s="400"/>
      <c r="W85" s="402"/>
      <c r="X85" s="249">
        <v>50</v>
      </c>
    </row>
    <row r="86" spans="1:24" s="107" customFormat="1" ht="144" x14ac:dyDescent="0.3">
      <c r="A86" s="236">
        <v>31</v>
      </c>
      <c r="B86" s="237" t="s">
        <v>56</v>
      </c>
      <c r="C86" s="237" t="s">
        <v>146</v>
      </c>
      <c r="D86" s="237" t="s">
        <v>147</v>
      </c>
      <c r="E86" s="245" t="s">
        <v>326</v>
      </c>
      <c r="F86" s="244">
        <v>45079</v>
      </c>
      <c r="G86" s="237" t="s">
        <v>327</v>
      </c>
      <c r="H86" s="239">
        <v>2841</v>
      </c>
      <c r="I86" s="240">
        <f>IF(X86 = 51, H86 + SUM(S86:S86) - SUM(T86:T86) - SUM(P86:P86) - V86,0)</f>
        <v>0</v>
      </c>
      <c r="J86" s="237" t="s">
        <v>328</v>
      </c>
      <c r="K86" s="237" t="s">
        <v>329</v>
      </c>
      <c r="L86" s="237" t="s">
        <v>146</v>
      </c>
      <c r="M86" s="237"/>
      <c r="N86" s="244">
        <v>45082</v>
      </c>
      <c r="O86" s="244" t="s">
        <v>235</v>
      </c>
      <c r="P86" s="239">
        <v>2841</v>
      </c>
      <c r="Q86" s="238">
        <v>45090</v>
      </c>
      <c r="R86" s="237"/>
      <c r="S86" s="239"/>
      <c r="T86" s="239"/>
      <c r="U86" s="239"/>
      <c r="V86" s="246"/>
      <c r="W86" s="233"/>
      <c r="X86" s="107">
        <v>51</v>
      </c>
    </row>
    <row r="87" spans="1:24" s="107" customFormat="1" ht="144" x14ac:dyDescent="0.3">
      <c r="A87" s="236">
        <v>32</v>
      </c>
      <c r="B87" s="237" t="s">
        <v>56</v>
      </c>
      <c r="C87" s="237" t="s">
        <v>146</v>
      </c>
      <c r="D87" s="237" t="s">
        <v>147</v>
      </c>
      <c r="E87" s="245" t="s">
        <v>332</v>
      </c>
      <c r="F87" s="247">
        <v>45083</v>
      </c>
      <c r="G87" s="237" t="s">
        <v>322</v>
      </c>
      <c r="H87" s="239">
        <v>1400</v>
      </c>
      <c r="I87" s="240">
        <f>IF(X87 = 52, H87 + SUM(S87:S87) - SUM(T87:T87) - SUM(P87:P87) - V87,0)</f>
        <v>0</v>
      </c>
      <c r="J87" s="237" t="s">
        <v>323</v>
      </c>
      <c r="K87" s="237" t="s">
        <v>324</v>
      </c>
      <c r="L87" s="237" t="s">
        <v>146</v>
      </c>
      <c r="M87" s="237"/>
      <c r="N87" s="247">
        <v>45083</v>
      </c>
      <c r="O87" s="247" t="s">
        <v>235</v>
      </c>
      <c r="P87" s="239">
        <v>1400</v>
      </c>
      <c r="Q87" s="238">
        <v>45093</v>
      </c>
      <c r="R87" s="237"/>
      <c r="S87" s="239"/>
      <c r="T87" s="239"/>
      <c r="U87" s="239"/>
      <c r="V87" s="246"/>
      <c r="W87" s="235"/>
      <c r="X87" s="107">
        <v>52</v>
      </c>
    </row>
    <row r="88" spans="1:24" s="107" customFormat="1" ht="168.75" customHeight="1" x14ac:dyDescent="0.3">
      <c r="A88" s="379">
        <v>33</v>
      </c>
      <c r="B88" s="364" t="s">
        <v>56</v>
      </c>
      <c r="C88" s="364" t="s">
        <v>146</v>
      </c>
      <c r="D88" s="364" t="s">
        <v>333</v>
      </c>
      <c r="E88" s="367">
        <v>6</v>
      </c>
      <c r="F88" s="370">
        <v>45092</v>
      </c>
      <c r="G88" s="364" t="s">
        <v>334</v>
      </c>
      <c r="H88" s="373">
        <v>83411.7</v>
      </c>
      <c r="I88" s="376">
        <f>IF(X88 = 53, H88 + SUM(S88:S89) - SUM(T88:T89) - SUM(P88:P89) - V88,0)</f>
        <v>0</v>
      </c>
      <c r="J88" s="364" t="s">
        <v>281</v>
      </c>
      <c r="K88" s="364" t="s">
        <v>335</v>
      </c>
      <c r="L88" s="364" t="s">
        <v>146</v>
      </c>
      <c r="M88" s="364"/>
      <c r="N88" s="302"/>
      <c r="O88" s="370" t="s">
        <v>235</v>
      </c>
      <c r="P88" s="293">
        <v>66727.5</v>
      </c>
      <c r="Q88" s="294">
        <v>45125</v>
      </c>
      <c r="R88" s="295"/>
      <c r="S88" s="293"/>
      <c r="T88" s="293"/>
      <c r="U88" s="373"/>
      <c r="V88" s="381"/>
      <c r="W88" s="383"/>
      <c r="X88" s="107">
        <v>53</v>
      </c>
    </row>
    <row r="89" spans="1:24" s="292" customFormat="1" x14ac:dyDescent="0.3">
      <c r="A89" s="380"/>
      <c r="B89" s="366"/>
      <c r="C89" s="366"/>
      <c r="D89" s="366"/>
      <c r="E89" s="369"/>
      <c r="F89" s="372"/>
      <c r="G89" s="366"/>
      <c r="H89" s="375"/>
      <c r="I89" s="378"/>
      <c r="J89" s="366"/>
      <c r="K89" s="366"/>
      <c r="L89" s="366"/>
      <c r="M89" s="366"/>
      <c r="N89" s="304"/>
      <c r="O89" s="372"/>
      <c r="P89" s="299">
        <v>16684.2</v>
      </c>
      <c r="Q89" s="300">
        <v>45125</v>
      </c>
      <c r="R89" s="301"/>
      <c r="S89" s="299"/>
      <c r="T89" s="299"/>
      <c r="U89" s="375"/>
      <c r="V89" s="382"/>
      <c r="W89" s="384"/>
      <c r="X89" s="292">
        <v>53</v>
      </c>
    </row>
    <row r="90" spans="1:24" s="107" customFormat="1" ht="144" x14ac:dyDescent="0.3">
      <c r="A90" s="236">
        <v>34</v>
      </c>
      <c r="B90" s="237" t="s">
        <v>56</v>
      </c>
      <c r="C90" s="237" t="s">
        <v>146</v>
      </c>
      <c r="D90" s="237" t="s">
        <v>147</v>
      </c>
      <c r="E90" s="245">
        <v>29</v>
      </c>
      <c r="F90" s="247">
        <v>45092</v>
      </c>
      <c r="G90" s="237" t="s">
        <v>336</v>
      </c>
      <c r="H90" s="239">
        <v>4350</v>
      </c>
      <c r="I90" s="240">
        <f>IF(X90 = 54, H90 + SUM(S90:S90) - SUM(T90:T90) - SUM(P90:P90) - V90,0)</f>
        <v>0</v>
      </c>
      <c r="J90" s="237" t="s">
        <v>289</v>
      </c>
      <c r="K90" s="237" t="s">
        <v>288</v>
      </c>
      <c r="L90" s="237" t="s">
        <v>146</v>
      </c>
      <c r="M90" s="237"/>
      <c r="N90" s="247">
        <v>45092</v>
      </c>
      <c r="O90" s="247" t="s">
        <v>235</v>
      </c>
      <c r="P90" s="239">
        <v>4350</v>
      </c>
      <c r="Q90" s="238">
        <v>45099</v>
      </c>
      <c r="R90" s="237"/>
      <c r="S90" s="239"/>
      <c r="T90" s="239"/>
      <c r="U90" s="239"/>
      <c r="V90" s="246"/>
      <c r="W90" s="235"/>
      <c r="X90" s="107">
        <v>54</v>
      </c>
    </row>
    <row r="91" spans="1:24" s="107" customFormat="1" ht="144" x14ac:dyDescent="0.3">
      <c r="A91" s="236">
        <v>35</v>
      </c>
      <c r="B91" s="237" t="s">
        <v>56</v>
      </c>
      <c r="C91" s="237" t="s">
        <v>146</v>
      </c>
      <c r="D91" s="237" t="s">
        <v>147</v>
      </c>
      <c r="E91" s="245">
        <v>381</v>
      </c>
      <c r="F91" s="269">
        <v>45103</v>
      </c>
      <c r="G91" s="237" t="s">
        <v>344</v>
      </c>
      <c r="H91" s="239">
        <v>4000</v>
      </c>
      <c r="I91" s="240">
        <f>IF(X91 = 55, H91 + SUM(S91:S91) - SUM(T91:T91) - SUM(P91:P91) - V91,0)</f>
        <v>0</v>
      </c>
      <c r="J91" s="237" t="s">
        <v>207</v>
      </c>
      <c r="K91" s="237" t="s">
        <v>158</v>
      </c>
      <c r="L91" s="237" t="s">
        <v>146</v>
      </c>
      <c r="M91" s="237"/>
      <c r="N91" s="269">
        <v>45103</v>
      </c>
      <c r="O91" s="269" t="s">
        <v>181</v>
      </c>
      <c r="P91" s="239">
        <v>4000</v>
      </c>
      <c r="Q91" s="238">
        <v>45107</v>
      </c>
      <c r="R91" s="237"/>
      <c r="S91" s="239"/>
      <c r="T91" s="239"/>
      <c r="U91" s="239"/>
      <c r="V91" s="246"/>
      <c r="W91" s="250"/>
      <c r="X91" s="107">
        <v>55</v>
      </c>
    </row>
    <row r="92" spans="1:24" s="107" customFormat="1" ht="144" x14ac:dyDescent="0.3">
      <c r="A92" s="270">
        <v>36</v>
      </c>
      <c r="B92" s="272" t="s">
        <v>56</v>
      </c>
      <c r="C92" s="272" t="s">
        <v>179</v>
      </c>
      <c r="D92" s="272" t="s">
        <v>147</v>
      </c>
      <c r="E92" s="275" t="s">
        <v>346</v>
      </c>
      <c r="F92" s="278">
        <v>45107</v>
      </c>
      <c r="G92" s="272" t="s">
        <v>347</v>
      </c>
      <c r="H92" s="271">
        <v>268400</v>
      </c>
      <c r="I92" s="276">
        <f>IF(X92 = 56, H92 + SUM(S92:S92) - SUM(T92:T92) - SUM(P92:P92) - V92,0)</f>
        <v>268400</v>
      </c>
      <c r="J92" s="290">
        <v>2311299612</v>
      </c>
      <c r="K92" s="272" t="s">
        <v>348</v>
      </c>
      <c r="L92" s="272" t="s">
        <v>146</v>
      </c>
      <c r="M92" s="272"/>
      <c r="N92" s="278"/>
      <c r="O92" s="278" t="s">
        <v>181</v>
      </c>
      <c r="P92" s="271"/>
      <c r="Q92" s="277"/>
      <c r="R92" s="272"/>
      <c r="S92" s="271"/>
      <c r="T92" s="271"/>
      <c r="U92" s="271"/>
      <c r="V92" s="273"/>
      <c r="W92" s="274"/>
      <c r="X92" s="107">
        <v>56</v>
      </c>
    </row>
    <row r="93" spans="1:24" s="107" customFormat="1" ht="144" x14ac:dyDescent="0.3">
      <c r="A93" s="270">
        <v>37</v>
      </c>
      <c r="B93" s="272" t="s">
        <v>56</v>
      </c>
      <c r="C93" s="272" t="s">
        <v>146</v>
      </c>
      <c r="D93" s="272" t="s">
        <v>147</v>
      </c>
      <c r="E93" s="275" t="s">
        <v>351</v>
      </c>
      <c r="F93" s="278">
        <v>45125</v>
      </c>
      <c r="G93" s="272" t="s">
        <v>352</v>
      </c>
      <c r="H93" s="271">
        <v>19500</v>
      </c>
      <c r="I93" s="276">
        <f>IF(X93 = 57, H93 + SUM(S93:S93) - SUM(T93:T93) - SUM(P93:P93) - V93,0)</f>
        <v>0</v>
      </c>
      <c r="J93" s="272" t="s">
        <v>353</v>
      </c>
      <c r="K93" s="272" t="s">
        <v>354</v>
      </c>
      <c r="L93" s="272" t="s">
        <v>146</v>
      </c>
      <c r="M93" s="272"/>
      <c r="N93" s="278"/>
      <c r="O93" s="278" t="s">
        <v>235</v>
      </c>
      <c r="P93" s="271">
        <v>19500</v>
      </c>
      <c r="Q93" s="277">
        <v>45132</v>
      </c>
      <c r="R93" s="272"/>
      <c r="S93" s="271"/>
      <c r="T93" s="271"/>
      <c r="U93" s="271"/>
      <c r="V93" s="273"/>
      <c r="W93" s="274"/>
      <c r="X93" s="107">
        <v>57</v>
      </c>
    </row>
    <row r="94" spans="1:24" s="107" customFormat="1" ht="144" x14ac:dyDescent="0.3">
      <c r="A94" s="279">
        <v>38</v>
      </c>
      <c r="B94" s="281" t="s">
        <v>56</v>
      </c>
      <c r="C94" s="281" t="s">
        <v>146</v>
      </c>
      <c r="D94" s="281" t="s">
        <v>147</v>
      </c>
      <c r="E94" s="284">
        <v>186</v>
      </c>
      <c r="F94" s="291">
        <v>45131</v>
      </c>
      <c r="G94" s="281" t="s">
        <v>355</v>
      </c>
      <c r="H94" s="280">
        <v>41050</v>
      </c>
      <c r="I94" s="285">
        <f>IF(X94 = 58, H94 + SUM(S94:S94) - SUM(T94:T94) - SUM(P94:P94) - V94,0)</f>
        <v>0</v>
      </c>
      <c r="J94" s="281" t="s">
        <v>356</v>
      </c>
      <c r="K94" s="281" t="s">
        <v>225</v>
      </c>
      <c r="L94" s="281" t="s">
        <v>146</v>
      </c>
      <c r="M94" s="281"/>
      <c r="N94" s="291"/>
      <c r="O94" s="291" t="s">
        <v>235</v>
      </c>
      <c r="P94" s="280">
        <v>41050</v>
      </c>
      <c r="Q94" s="286">
        <v>45132</v>
      </c>
      <c r="R94" s="281"/>
      <c r="S94" s="280"/>
      <c r="T94" s="280"/>
      <c r="U94" s="280"/>
      <c r="V94" s="282"/>
      <c r="W94" s="283"/>
      <c r="X94" s="107">
        <v>58</v>
      </c>
    </row>
    <row r="95" spans="1:24" s="107" customFormat="1" ht="144" x14ac:dyDescent="0.3">
      <c r="A95" s="279">
        <v>39</v>
      </c>
      <c r="B95" s="281" t="s">
        <v>56</v>
      </c>
      <c r="C95" s="281" t="s">
        <v>146</v>
      </c>
      <c r="D95" s="281" t="s">
        <v>147</v>
      </c>
      <c r="E95" s="284" t="s">
        <v>312</v>
      </c>
      <c r="F95" s="291">
        <v>45128</v>
      </c>
      <c r="G95" s="281" t="s">
        <v>358</v>
      </c>
      <c r="H95" s="280">
        <v>100000</v>
      </c>
      <c r="I95" s="285">
        <f>IF(X95 = 59, H95 + SUM(S95:S95) - SUM(T95:T95) - SUM(P95:P95) - V95,0)</f>
        <v>0</v>
      </c>
      <c r="J95" s="281" t="s">
        <v>314</v>
      </c>
      <c r="K95" s="281" t="s">
        <v>315</v>
      </c>
      <c r="L95" s="281" t="s">
        <v>146</v>
      </c>
      <c r="M95" s="281"/>
      <c r="N95" s="291"/>
      <c r="O95" s="291" t="s">
        <v>235</v>
      </c>
      <c r="P95" s="280">
        <v>100000</v>
      </c>
      <c r="Q95" s="286">
        <v>45133</v>
      </c>
      <c r="R95" s="281"/>
      <c r="S95" s="280"/>
      <c r="T95" s="280"/>
      <c r="U95" s="280"/>
      <c r="V95" s="282"/>
      <c r="W95" s="283"/>
      <c r="X95" s="107">
        <v>59</v>
      </c>
    </row>
    <row r="96" spans="1:24" s="107" customFormat="1" ht="36" x14ac:dyDescent="0.3">
      <c r="A96" s="279">
        <v>40</v>
      </c>
      <c r="B96" s="281" t="s">
        <v>56</v>
      </c>
      <c r="C96" s="281" t="s">
        <v>146</v>
      </c>
      <c r="D96" s="281" t="s">
        <v>147</v>
      </c>
      <c r="E96" s="284">
        <v>91</v>
      </c>
      <c r="F96" s="291">
        <v>45132</v>
      </c>
      <c r="G96" s="281" t="s">
        <v>231</v>
      </c>
      <c r="H96" s="280">
        <v>4500</v>
      </c>
      <c r="I96" s="285">
        <f>IF(X96 = 60, H96 + SUM(S96:S96) - SUM(T96:T96) - SUM(P96:P96) - V96,0)</f>
        <v>4500</v>
      </c>
      <c r="J96" s="281" t="s">
        <v>357</v>
      </c>
      <c r="K96" s="281" t="s">
        <v>171</v>
      </c>
      <c r="L96" s="281" t="s">
        <v>146</v>
      </c>
      <c r="M96" s="281"/>
      <c r="N96" s="291"/>
      <c r="O96" s="291"/>
      <c r="P96" s="280"/>
      <c r="Q96" s="286"/>
      <c r="R96" s="281"/>
      <c r="S96" s="280"/>
      <c r="T96" s="280"/>
      <c r="U96" s="280"/>
      <c r="V96" s="282"/>
      <c r="W96" s="283"/>
      <c r="X96" s="107">
        <v>60</v>
      </c>
    </row>
    <row r="97" spans="1:24" x14ac:dyDescent="0.3">
      <c r="A97" s="14"/>
      <c r="B97" s="109"/>
      <c r="C97" s="14"/>
      <c r="D97" s="14"/>
      <c r="E97" s="29"/>
      <c r="F97" s="14"/>
      <c r="G97" s="14"/>
      <c r="H97" s="15"/>
      <c r="I97" s="15"/>
      <c r="J97" s="14"/>
      <c r="K97" s="14"/>
      <c r="L97" s="14"/>
      <c r="M97" s="14"/>
      <c r="N97" s="29"/>
      <c r="O97" s="14"/>
      <c r="P97" s="104"/>
      <c r="Q97" s="29"/>
      <c r="R97" s="16"/>
      <c r="S97" s="16"/>
      <c r="T97" s="16"/>
      <c r="U97" s="29"/>
      <c r="V97" s="104"/>
      <c r="W97" s="16"/>
      <c r="X97" s="8">
        <v>61</v>
      </c>
    </row>
    <row r="98" spans="1:24" s="2" customFormat="1" x14ac:dyDescent="0.3">
      <c r="A98" s="41"/>
      <c r="B98" s="110"/>
      <c r="C98" s="41"/>
      <c r="D98" s="41"/>
      <c r="E98" s="42"/>
      <c r="F98" s="41"/>
      <c r="G98" s="41"/>
      <c r="H98" s="44"/>
      <c r="I98" s="44"/>
      <c r="J98" s="41"/>
      <c r="K98" s="41"/>
      <c r="L98" s="41"/>
      <c r="M98" s="41"/>
      <c r="N98" s="42"/>
      <c r="O98" s="41"/>
      <c r="P98" s="40"/>
      <c r="Q98" s="42"/>
      <c r="U98" s="42"/>
      <c r="V98" s="40"/>
    </row>
    <row r="99" spans="1:24" s="2" customFormat="1" x14ac:dyDescent="0.3">
      <c r="A99" s="41"/>
      <c r="B99" s="110"/>
      <c r="C99" s="41"/>
      <c r="D99" s="41"/>
      <c r="E99" s="42"/>
      <c r="F99" s="41"/>
      <c r="G99" s="41"/>
      <c r="H99" s="44"/>
      <c r="I99" s="44"/>
      <c r="J99" s="41"/>
      <c r="K99" s="41"/>
      <c r="L99" s="41"/>
      <c r="M99" s="41"/>
      <c r="N99" s="42"/>
      <c r="O99" s="41"/>
      <c r="P99" s="40"/>
      <c r="Q99" s="42"/>
      <c r="U99" s="42"/>
      <c r="V99" s="40"/>
    </row>
    <row r="100" spans="1:24" s="2" customFormat="1" x14ac:dyDescent="0.3">
      <c r="A100" s="41"/>
      <c r="B100" s="110"/>
      <c r="C100" s="41"/>
      <c r="D100" s="41"/>
      <c r="E100" s="42"/>
      <c r="F100" s="41"/>
      <c r="G100" s="41"/>
      <c r="H100" s="44"/>
      <c r="I100" s="44"/>
      <c r="J100" s="41"/>
      <c r="K100" s="41"/>
      <c r="L100" s="41"/>
      <c r="M100" s="41"/>
      <c r="N100" s="42"/>
      <c r="O100" s="41"/>
      <c r="P100" s="40"/>
      <c r="Q100" s="42"/>
      <c r="U100" s="42"/>
      <c r="V100" s="40"/>
    </row>
    <row r="101" spans="1:24" s="2" customFormat="1" x14ac:dyDescent="0.3">
      <c r="A101" s="41"/>
      <c r="B101" s="110"/>
      <c r="C101" s="41"/>
      <c r="D101" s="41"/>
      <c r="E101" s="42"/>
      <c r="F101" s="41"/>
      <c r="G101" s="41"/>
      <c r="H101" s="44"/>
      <c r="I101" s="44"/>
      <c r="J101" s="41"/>
      <c r="K101" s="41"/>
      <c r="L101" s="41"/>
      <c r="M101" s="41"/>
      <c r="N101" s="42"/>
      <c r="O101" s="41"/>
      <c r="P101" s="40"/>
      <c r="Q101" s="42"/>
      <c r="U101" s="42"/>
      <c r="V101" s="40"/>
    </row>
    <row r="102" spans="1:24" s="2" customFormat="1" x14ac:dyDescent="0.3">
      <c r="A102" s="41"/>
      <c r="B102" s="110"/>
      <c r="C102" s="41"/>
      <c r="D102" s="41"/>
      <c r="E102" s="42"/>
      <c r="F102" s="41"/>
      <c r="G102" s="41"/>
      <c r="H102" s="44"/>
      <c r="I102" s="44"/>
      <c r="J102" s="41"/>
      <c r="K102" s="41"/>
      <c r="L102" s="41"/>
      <c r="M102" s="41"/>
      <c r="N102" s="42"/>
      <c r="O102" s="41"/>
      <c r="P102" s="40"/>
      <c r="Q102" s="42"/>
      <c r="U102" s="42"/>
      <c r="V102" s="40"/>
    </row>
  </sheetData>
  <sheetProtection password="EB34" sheet="1" objects="1" scenarios="1" formatCells="0" formatColumns="0" formatRows="0"/>
  <mergeCells count="245">
    <mergeCell ref="V11:V14"/>
    <mergeCell ref="W11:W14"/>
    <mergeCell ref="H11:H14"/>
    <mergeCell ref="I11:I14"/>
    <mergeCell ref="A68:A69"/>
    <mergeCell ref="O68:O69"/>
    <mergeCell ref="U68:U69"/>
    <mergeCell ref="B68:B69"/>
    <mergeCell ref="V68:V69"/>
    <mergeCell ref="C68:C69"/>
    <mergeCell ref="W68:W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B11:B14"/>
    <mergeCell ref="C11:C14"/>
    <mergeCell ref="D11:D14"/>
    <mergeCell ref="E11:E14"/>
    <mergeCell ref="F11:F14"/>
    <mergeCell ref="G11:G14"/>
    <mergeCell ref="W15:W18"/>
    <mergeCell ref="A9:A10"/>
    <mergeCell ref="O9:O10"/>
    <mergeCell ref="U9:U10"/>
    <mergeCell ref="B9:B10"/>
    <mergeCell ref="V9:V10"/>
    <mergeCell ref="C9:C10"/>
    <mergeCell ref="D9:D10"/>
    <mergeCell ref="E9:E10"/>
    <mergeCell ref="W9:W10"/>
    <mergeCell ref="F9:F10"/>
    <mergeCell ref="G9:G10"/>
    <mergeCell ref="H9:H10"/>
    <mergeCell ref="H15:H18"/>
    <mergeCell ref="I15:I18"/>
    <mergeCell ref="J15:J18"/>
    <mergeCell ref="K15:K18"/>
    <mergeCell ref="L15:L18"/>
    <mergeCell ref="G66:G67"/>
    <mergeCell ref="H66:H67"/>
    <mergeCell ref="I66:I67"/>
    <mergeCell ref="J66:J67"/>
    <mergeCell ref="K66:K67"/>
    <mergeCell ref="L66:L67"/>
    <mergeCell ref="M66:M67"/>
    <mergeCell ref="A3:E3"/>
    <mergeCell ref="S2:U2"/>
    <mergeCell ref="N2:O2"/>
    <mergeCell ref="J4:K4"/>
    <mergeCell ref="M4:N4"/>
    <mergeCell ref="O4:P4"/>
    <mergeCell ref="K2:M2"/>
    <mergeCell ref="I9:I10"/>
    <mergeCell ref="J9:J10"/>
    <mergeCell ref="K9:K10"/>
    <mergeCell ref="L9:L10"/>
    <mergeCell ref="M9:M10"/>
    <mergeCell ref="U15:U18"/>
    <mergeCell ref="B15:B18"/>
    <mergeCell ref="A11:A14"/>
    <mergeCell ref="O11:O14"/>
    <mergeCell ref="U11:U14"/>
    <mergeCell ref="V15:V18"/>
    <mergeCell ref="A31:A33"/>
    <mergeCell ref="O31:O33"/>
    <mergeCell ref="U31:U33"/>
    <mergeCell ref="B31:B33"/>
    <mergeCell ref="V31:V33"/>
    <mergeCell ref="C31:C33"/>
    <mergeCell ref="W31:W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M15:M18"/>
    <mergeCell ref="A15:A18"/>
    <mergeCell ref="C15:C18"/>
    <mergeCell ref="D15:D18"/>
    <mergeCell ref="E15:E18"/>
    <mergeCell ref="F15:F18"/>
    <mergeCell ref="G15:G18"/>
    <mergeCell ref="O15:O18"/>
    <mergeCell ref="J11:J14"/>
    <mergeCell ref="K11:K14"/>
    <mergeCell ref="L11:L14"/>
    <mergeCell ref="M11:M14"/>
    <mergeCell ref="W25:W30"/>
    <mergeCell ref="D25:D30"/>
    <mergeCell ref="E25:E30"/>
    <mergeCell ref="F25:F30"/>
    <mergeCell ref="G25:G30"/>
    <mergeCell ref="H25:H30"/>
    <mergeCell ref="I25:I30"/>
    <mergeCell ref="A70:A72"/>
    <mergeCell ref="O70:O72"/>
    <mergeCell ref="U70:U72"/>
    <mergeCell ref="B70:B72"/>
    <mergeCell ref="V70:V72"/>
    <mergeCell ref="C70:C72"/>
    <mergeCell ref="W70:W72"/>
    <mergeCell ref="A66:A67"/>
    <mergeCell ref="O66:O67"/>
    <mergeCell ref="U66:U67"/>
    <mergeCell ref="B66:B67"/>
    <mergeCell ref="V66:V67"/>
    <mergeCell ref="C66:C67"/>
    <mergeCell ref="W66:W67"/>
    <mergeCell ref="D66:D67"/>
    <mergeCell ref="E66:E67"/>
    <mergeCell ref="F66:F67"/>
    <mergeCell ref="A19:A24"/>
    <mergeCell ref="O19:O24"/>
    <mergeCell ref="U19:U24"/>
    <mergeCell ref="B19:B24"/>
    <mergeCell ref="V19:V24"/>
    <mergeCell ref="C19:C24"/>
    <mergeCell ref="W19:W24"/>
    <mergeCell ref="A84:A85"/>
    <mergeCell ref="O84:O85"/>
    <mergeCell ref="U84:U85"/>
    <mergeCell ref="B84:B85"/>
    <mergeCell ref="V84:V85"/>
    <mergeCell ref="C84:C85"/>
    <mergeCell ref="W84:W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D19:D24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A34:A39"/>
    <mergeCell ref="O34:O39"/>
    <mergeCell ref="U34:U39"/>
    <mergeCell ref="B34:B39"/>
    <mergeCell ref="V34:V39"/>
    <mergeCell ref="C34:C39"/>
    <mergeCell ref="W34:W39"/>
    <mergeCell ref="D34:D39"/>
    <mergeCell ref="E34:E39"/>
    <mergeCell ref="F34:F39"/>
    <mergeCell ref="G34:G39"/>
    <mergeCell ref="H34:H39"/>
    <mergeCell ref="I34:I39"/>
    <mergeCell ref="J34:J39"/>
    <mergeCell ref="K34:K39"/>
    <mergeCell ref="L34:L39"/>
    <mergeCell ref="M34:M39"/>
    <mergeCell ref="A25:A30"/>
    <mergeCell ref="O25:O30"/>
    <mergeCell ref="U25:U30"/>
    <mergeCell ref="B25:B30"/>
    <mergeCell ref="V25:V30"/>
    <mergeCell ref="C25:C30"/>
    <mergeCell ref="J25:J30"/>
    <mergeCell ref="K25:K30"/>
    <mergeCell ref="L25:L30"/>
    <mergeCell ref="M25:M30"/>
    <mergeCell ref="A40:A41"/>
    <mergeCell ref="O40:O41"/>
    <mergeCell ref="U40:U41"/>
    <mergeCell ref="B40:B41"/>
    <mergeCell ref="V40:V41"/>
    <mergeCell ref="C40:C41"/>
    <mergeCell ref="A43:A60"/>
    <mergeCell ref="O43:O60"/>
    <mergeCell ref="U43:U60"/>
    <mergeCell ref="B43:B60"/>
    <mergeCell ref="V43:V60"/>
    <mergeCell ref="C43:C60"/>
    <mergeCell ref="W40:W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W43:W60"/>
    <mergeCell ref="D43:D60"/>
    <mergeCell ref="E43:E60"/>
    <mergeCell ref="F43:F60"/>
    <mergeCell ref="G43:G60"/>
    <mergeCell ref="H43:H60"/>
    <mergeCell ref="I43:I60"/>
    <mergeCell ref="J43:J60"/>
    <mergeCell ref="K43:K60"/>
    <mergeCell ref="L43:L60"/>
    <mergeCell ref="M43:M60"/>
    <mergeCell ref="A88:A89"/>
    <mergeCell ref="O88:O89"/>
    <mergeCell ref="U88:U89"/>
    <mergeCell ref="B88:B89"/>
    <mergeCell ref="V88:V89"/>
    <mergeCell ref="C88:C89"/>
    <mergeCell ref="W88:W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M70:M72"/>
    <mergeCell ref="D70:D72"/>
    <mergeCell ref="E70:E72"/>
    <mergeCell ref="F70:F72"/>
    <mergeCell ref="G70:G72"/>
    <mergeCell ref="H70:H72"/>
    <mergeCell ref="I70:I72"/>
    <mergeCell ref="J70:J72"/>
    <mergeCell ref="K70:K72"/>
    <mergeCell ref="L70:L7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33"/>
  <sheetViews>
    <sheetView showGridLines="0" topLeftCell="E1" zoomScale="50" zoomScaleNormal="50" workbookViewId="0">
      <pane ySplit="8" topLeftCell="A113" activePane="bottomLeft" state="frozen"/>
      <selection pane="bottomLeft" activeCell="Q113" sqref="Q113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580" t="s">
        <v>24</v>
      </c>
      <c r="G2" s="581"/>
      <c r="H2" s="98">
        <f>SUM(H9:H10002)</f>
        <v>2841590.57</v>
      </c>
      <c r="I2" s="86"/>
      <c r="J2" s="39"/>
      <c r="N2" s="452" t="s">
        <v>137</v>
      </c>
      <c r="O2" s="454"/>
      <c r="P2" s="87">
        <f>SUM(P9:P10002)</f>
        <v>2035003.8200000003</v>
      </c>
      <c r="R2" s="86"/>
      <c r="S2" s="452" t="s">
        <v>45</v>
      </c>
      <c r="T2" s="453"/>
      <c r="U2" s="454"/>
      <c r="V2" s="88">
        <f>SUM(V9:V10002)</f>
        <v>273451.07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131.25" customHeight="1" x14ac:dyDescent="0.3">
      <c r="A9" s="425">
        <v>1</v>
      </c>
      <c r="B9" s="434" t="s">
        <v>56</v>
      </c>
      <c r="C9" s="434" t="s">
        <v>179</v>
      </c>
      <c r="D9" s="434" t="s">
        <v>147</v>
      </c>
      <c r="E9" s="434" t="s">
        <v>36</v>
      </c>
      <c r="F9" s="428">
        <v>44921</v>
      </c>
      <c r="G9" s="443" t="s">
        <v>180</v>
      </c>
      <c r="H9" s="431">
        <v>494000</v>
      </c>
      <c r="I9" s="446">
        <f>IF(X9 = 18, H9 + SUM(S9:S11) - SUM(T9:T11) - SUM(P9:P11) - V9,0)</f>
        <v>219413.41999999998</v>
      </c>
      <c r="J9" s="563">
        <v>2310195709</v>
      </c>
      <c r="K9" s="565" t="s">
        <v>170</v>
      </c>
      <c r="L9" s="434" t="s">
        <v>146</v>
      </c>
      <c r="M9" s="434" t="s">
        <v>183</v>
      </c>
      <c r="N9" s="197">
        <v>44957</v>
      </c>
      <c r="O9" s="428" t="s">
        <v>181</v>
      </c>
      <c r="P9" s="188">
        <v>92510.53</v>
      </c>
      <c r="Q9" s="189">
        <v>44965</v>
      </c>
      <c r="R9" s="190"/>
      <c r="S9" s="188"/>
      <c r="T9" s="188"/>
      <c r="U9" s="431"/>
      <c r="V9" s="561"/>
      <c r="W9" s="440"/>
      <c r="X9" s="108">
        <v>18</v>
      </c>
    </row>
    <row r="10" spans="1:24" s="2" customFormat="1" x14ac:dyDescent="0.3">
      <c r="A10" s="426"/>
      <c r="B10" s="435"/>
      <c r="C10" s="435"/>
      <c r="D10" s="435"/>
      <c r="E10" s="435"/>
      <c r="F10" s="429"/>
      <c r="G10" s="444"/>
      <c r="H10" s="432"/>
      <c r="I10" s="447"/>
      <c r="J10" s="567"/>
      <c r="K10" s="568"/>
      <c r="L10" s="435"/>
      <c r="M10" s="435"/>
      <c r="N10" s="198">
        <v>44985</v>
      </c>
      <c r="O10" s="429"/>
      <c r="P10" s="191">
        <v>81376.05</v>
      </c>
      <c r="Q10" s="192">
        <v>44995</v>
      </c>
      <c r="R10" s="193"/>
      <c r="S10" s="191"/>
      <c r="T10" s="191"/>
      <c r="U10" s="432"/>
      <c r="V10" s="576"/>
      <c r="W10" s="441"/>
      <c r="X10" s="2">
        <v>18</v>
      </c>
    </row>
    <row r="11" spans="1:24" s="2" customFormat="1" x14ac:dyDescent="0.3">
      <c r="A11" s="427"/>
      <c r="B11" s="436"/>
      <c r="C11" s="436"/>
      <c r="D11" s="436"/>
      <c r="E11" s="436"/>
      <c r="F11" s="430"/>
      <c r="G11" s="445"/>
      <c r="H11" s="433"/>
      <c r="I11" s="448"/>
      <c r="J11" s="564"/>
      <c r="K11" s="566"/>
      <c r="L11" s="436"/>
      <c r="M11" s="436"/>
      <c r="N11" s="199">
        <v>45016</v>
      </c>
      <c r="O11" s="430"/>
      <c r="P11" s="194">
        <v>100700</v>
      </c>
      <c r="Q11" s="195">
        <v>45028</v>
      </c>
      <c r="R11" s="196"/>
      <c r="S11" s="194"/>
      <c r="T11" s="194"/>
      <c r="U11" s="433"/>
      <c r="V11" s="562"/>
      <c r="W11" s="442"/>
      <c r="X11" s="2">
        <v>18</v>
      </c>
    </row>
    <row r="12" spans="1:24" s="108" customFormat="1" ht="37.5" customHeight="1" x14ac:dyDescent="0.3">
      <c r="A12" s="379">
        <v>2</v>
      </c>
      <c r="B12" s="364" t="s">
        <v>56</v>
      </c>
      <c r="C12" s="364" t="s">
        <v>146</v>
      </c>
      <c r="D12" s="364" t="s">
        <v>147</v>
      </c>
      <c r="E12" s="364" t="s">
        <v>119</v>
      </c>
      <c r="F12" s="370">
        <v>44925</v>
      </c>
      <c r="G12" s="386" t="s">
        <v>182</v>
      </c>
      <c r="H12" s="373">
        <v>30439.68</v>
      </c>
      <c r="I12" s="376">
        <f>IF(X12 = 19, H12 + SUM(S12:S18) - SUM(T12:T18) - SUM(P12:P18) - V12,0)</f>
        <v>10599.59</v>
      </c>
      <c r="J12" s="519">
        <v>2353246210</v>
      </c>
      <c r="K12" s="522" t="s">
        <v>151</v>
      </c>
      <c r="L12" s="364" t="s">
        <v>146</v>
      </c>
      <c r="M12" s="364"/>
      <c r="N12" s="302">
        <v>44943</v>
      </c>
      <c r="O12" s="370" t="s">
        <v>184</v>
      </c>
      <c r="P12" s="293">
        <v>4402.93</v>
      </c>
      <c r="Q12" s="294">
        <v>44963</v>
      </c>
      <c r="R12" s="295"/>
      <c r="S12" s="293"/>
      <c r="T12" s="293"/>
      <c r="U12" s="373"/>
      <c r="V12" s="516"/>
      <c r="W12" s="383"/>
      <c r="X12" s="108">
        <v>19</v>
      </c>
    </row>
    <row r="13" spans="1:24" s="2" customFormat="1" x14ac:dyDescent="0.3">
      <c r="A13" s="389"/>
      <c r="B13" s="365"/>
      <c r="C13" s="365"/>
      <c r="D13" s="365"/>
      <c r="E13" s="365"/>
      <c r="F13" s="371"/>
      <c r="G13" s="387"/>
      <c r="H13" s="374"/>
      <c r="I13" s="377"/>
      <c r="J13" s="520"/>
      <c r="K13" s="523"/>
      <c r="L13" s="365"/>
      <c r="M13" s="365"/>
      <c r="N13" s="303">
        <v>44972</v>
      </c>
      <c r="O13" s="371"/>
      <c r="P13" s="296">
        <v>2967.24</v>
      </c>
      <c r="Q13" s="297">
        <v>45005</v>
      </c>
      <c r="R13" s="298"/>
      <c r="S13" s="296"/>
      <c r="T13" s="296"/>
      <c r="U13" s="374"/>
      <c r="V13" s="517"/>
      <c r="W13" s="385"/>
      <c r="X13" s="2">
        <v>19</v>
      </c>
    </row>
    <row r="14" spans="1:24" s="2" customFormat="1" x14ac:dyDescent="0.3">
      <c r="A14" s="389"/>
      <c r="B14" s="365"/>
      <c r="C14" s="365"/>
      <c r="D14" s="365"/>
      <c r="E14" s="365"/>
      <c r="F14" s="371"/>
      <c r="G14" s="387"/>
      <c r="H14" s="374"/>
      <c r="I14" s="377"/>
      <c r="J14" s="520"/>
      <c r="K14" s="523"/>
      <c r="L14" s="365"/>
      <c r="M14" s="365"/>
      <c r="N14" s="303">
        <v>44999</v>
      </c>
      <c r="O14" s="371"/>
      <c r="P14" s="296">
        <v>2028.24</v>
      </c>
      <c r="Q14" s="297">
        <v>45005</v>
      </c>
      <c r="R14" s="298"/>
      <c r="S14" s="296"/>
      <c r="T14" s="296"/>
      <c r="U14" s="374"/>
      <c r="V14" s="517"/>
      <c r="W14" s="385"/>
      <c r="X14" s="2">
        <v>19</v>
      </c>
    </row>
    <row r="15" spans="1:24" s="2" customFormat="1" x14ac:dyDescent="0.3">
      <c r="A15" s="389"/>
      <c r="B15" s="365"/>
      <c r="C15" s="365"/>
      <c r="D15" s="365"/>
      <c r="E15" s="365"/>
      <c r="F15" s="371"/>
      <c r="G15" s="387"/>
      <c r="H15" s="374"/>
      <c r="I15" s="377"/>
      <c r="J15" s="520"/>
      <c r="K15" s="523"/>
      <c r="L15" s="365"/>
      <c r="M15" s="365"/>
      <c r="N15" s="303">
        <v>45035</v>
      </c>
      <c r="O15" s="371"/>
      <c r="P15" s="296">
        <v>2554.08</v>
      </c>
      <c r="Q15" s="297">
        <v>45051</v>
      </c>
      <c r="R15" s="298"/>
      <c r="S15" s="296"/>
      <c r="T15" s="296"/>
      <c r="U15" s="374"/>
      <c r="V15" s="517"/>
      <c r="W15" s="385"/>
      <c r="X15" s="2">
        <v>19</v>
      </c>
    </row>
    <row r="16" spans="1:24" s="2" customFormat="1" x14ac:dyDescent="0.3">
      <c r="A16" s="389"/>
      <c r="B16" s="365"/>
      <c r="C16" s="365"/>
      <c r="D16" s="365"/>
      <c r="E16" s="365"/>
      <c r="F16" s="371"/>
      <c r="G16" s="387"/>
      <c r="H16" s="374"/>
      <c r="I16" s="377"/>
      <c r="J16" s="520"/>
      <c r="K16" s="523"/>
      <c r="L16" s="365"/>
      <c r="M16" s="365"/>
      <c r="N16" s="303">
        <v>45062</v>
      </c>
      <c r="O16" s="371"/>
      <c r="P16" s="296">
        <v>2854.56</v>
      </c>
      <c r="Q16" s="297">
        <v>45070</v>
      </c>
      <c r="R16" s="298"/>
      <c r="S16" s="296"/>
      <c r="T16" s="296"/>
      <c r="U16" s="374"/>
      <c r="V16" s="517"/>
      <c r="W16" s="385"/>
      <c r="X16" s="2">
        <v>19</v>
      </c>
    </row>
    <row r="17" spans="1:24" s="2" customFormat="1" x14ac:dyDescent="0.3">
      <c r="A17" s="389"/>
      <c r="B17" s="365"/>
      <c r="C17" s="365"/>
      <c r="D17" s="365"/>
      <c r="E17" s="365"/>
      <c r="F17" s="371"/>
      <c r="G17" s="387"/>
      <c r="H17" s="374"/>
      <c r="I17" s="377"/>
      <c r="J17" s="520"/>
      <c r="K17" s="523"/>
      <c r="L17" s="365"/>
      <c r="M17" s="365"/>
      <c r="N17" s="303">
        <v>45092</v>
      </c>
      <c r="O17" s="371"/>
      <c r="P17" s="296">
        <v>2216.04</v>
      </c>
      <c r="Q17" s="297">
        <v>45106</v>
      </c>
      <c r="R17" s="298"/>
      <c r="S17" s="296"/>
      <c r="T17" s="296"/>
      <c r="U17" s="374"/>
      <c r="V17" s="517"/>
      <c r="W17" s="385"/>
      <c r="X17" s="2">
        <v>19</v>
      </c>
    </row>
    <row r="18" spans="1:24" s="2" customFormat="1" x14ac:dyDescent="0.3">
      <c r="A18" s="380"/>
      <c r="B18" s="366"/>
      <c r="C18" s="366"/>
      <c r="D18" s="366"/>
      <c r="E18" s="366"/>
      <c r="F18" s="372"/>
      <c r="G18" s="388"/>
      <c r="H18" s="375"/>
      <c r="I18" s="378"/>
      <c r="J18" s="521"/>
      <c r="K18" s="524"/>
      <c r="L18" s="366"/>
      <c r="M18" s="366"/>
      <c r="N18" s="304">
        <v>45124</v>
      </c>
      <c r="O18" s="372"/>
      <c r="P18" s="299">
        <v>2817</v>
      </c>
      <c r="Q18" s="300">
        <v>45132</v>
      </c>
      <c r="R18" s="301"/>
      <c r="S18" s="299"/>
      <c r="T18" s="299"/>
      <c r="U18" s="375"/>
      <c r="V18" s="518"/>
      <c r="W18" s="384"/>
      <c r="X18" s="2">
        <v>19</v>
      </c>
    </row>
    <row r="19" spans="1:24" s="108" customFormat="1" ht="37.5" customHeight="1" x14ac:dyDescent="0.3">
      <c r="A19" s="379">
        <v>3</v>
      </c>
      <c r="B19" s="364" t="s">
        <v>56</v>
      </c>
      <c r="C19" s="364" t="s">
        <v>146</v>
      </c>
      <c r="D19" s="364" t="s">
        <v>188</v>
      </c>
      <c r="E19" s="364" t="s">
        <v>190</v>
      </c>
      <c r="F19" s="370">
        <v>44925</v>
      </c>
      <c r="G19" s="386" t="s">
        <v>185</v>
      </c>
      <c r="H19" s="373">
        <v>364067.54</v>
      </c>
      <c r="I19" s="376">
        <f>IF(X19 = 20, H19 + SUM(S19:S35) - SUM(T19:T35) - SUM(P19:P35) - V19,0)</f>
        <v>126334.51000000001</v>
      </c>
      <c r="J19" s="519">
        <v>2308119595</v>
      </c>
      <c r="K19" s="522" t="s">
        <v>150</v>
      </c>
      <c r="L19" s="364" t="s">
        <v>146</v>
      </c>
      <c r="M19" s="364"/>
      <c r="N19" s="302">
        <v>44957</v>
      </c>
      <c r="O19" s="370" t="s">
        <v>186</v>
      </c>
      <c r="P19" s="293">
        <v>9810.7000000000007</v>
      </c>
      <c r="Q19" s="294">
        <v>44974</v>
      </c>
      <c r="R19" s="295"/>
      <c r="S19" s="293"/>
      <c r="T19" s="293"/>
      <c r="U19" s="373"/>
      <c r="V19" s="516"/>
      <c r="W19" s="383"/>
      <c r="X19" s="108">
        <v>20</v>
      </c>
    </row>
    <row r="20" spans="1:24" s="2" customFormat="1" x14ac:dyDescent="0.3">
      <c r="A20" s="389"/>
      <c r="B20" s="365"/>
      <c r="C20" s="365"/>
      <c r="D20" s="365"/>
      <c r="E20" s="365"/>
      <c r="F20" s="371"/>
      <c r="G20" s="387"/>
      <c r="H20" s="374"/>
      <c r="I20" s="377"/>
      <c r="J20" s="520"/>
      <c r="K20" s="523"/>
      <c r="L20" s="365"/>
      <c r="M20" s="365"/>
      <c r="N20" s="303">
        <v>44958</v>
      </c>
      <c r="O20" s="371"/>
      <c r="P20" s="296">
        <v>21883.97</v>
      </c>
      <c r="Q20" s="297">
        <v>44974</v>
      </c>
      <c r="R20" s="298"/>
      <c r="S20" s="296"/>
      <c r="T20" s="296"/>
      <c r="U20" s="374"/>
      <c r="V20" s="517"/>
      <c r="W20" s="385"/>
      <c r="X20" s="2">
        <v>20</v>
      </c>
    </row>
    <row r="21" spans="1:24" s="2" customFormat="1" x14ac:dyDescent="0.3">
      <c r="A21" s="389"/>
      <c r="B21" s="365"/>
      <c r="C21" s="365"/>
      <c r="D21" s="365"/>
      <c r="E21" s="365"/>
      <c r="F21" s="371"/>
      <c r="G21" s="387"/>
      <c r="H21" s="374"/>
      <c r="I21" s="377"/>
      <c r="J21" s="520"/>
      <c r="K21" s="523"/>
      <c r="L21" s="365"/>
      <c r="M21" s="365"/>
      <c r="N21" s="303">
        <v>44986</v>
      </c>
      <c r="O21" s="371"/>
      <c r="P21" s="296">
        <v>16412.98</v>
      </c>
      <c r="Q21" s="297">
        <v>44988</v>
      </c>
      <c r="R21" s="298"/>
      <c r="S21" s="296"/>
      <c r="T21" s="296"/>
      <c r="U21" s="374"/>
      <c r="V21" s="517"/>
      <c r="W21" s="385"/>
      <c r="X21" s="2">
        <v>20</v>
      </c>
    </row>
    <row r="22" spans="1:24" s="2" customFormat="1" x14ac:dyDescent="0.3">
      <c r="A22" s="389"/>
      <c r="B22" s="365"/>
      <c r="C22" s="365"/>
      <c r="D22" s="365"/>
      <c r="E22" s="365"/>
      <c r="F22" s="371"/>
      <c r="G22" s="387"/>
      <c r="H22" s="374"/>
      <c r="I22" s="377"/>
      <c r="J22" s="520"/>
      <c r="K22" s="523"/>
      <c r="L22" s="365"/>
      <c r="M22" s="365"/>
      <c r="N22" s="303">
        <v>45001</v>
      </c>
      <c r="O22" s="371"/>
      <c r="P22" s="296">
        <v>16486.419999999998</v>
      </c>
      <c r="Q22" s="297">
        <v>45001</v>
      </c>
      <c r="R22" s="298"/>
      <c r="S22" s="296"/>
      <c r="T22" s="296"/>
      <c r="U22" s="374"/>
      <c r="V22" s="517"/>
      <c r="W22" s="385"/>
      <c r="X22" s="2">
        <v>20</v>
      </c>
    </row>
    <row r="23" spans="1:24" s="2" customFormat="1" x14ac:dyDescent="0.3">
      <c r="A23" s="389"/>
      <c r="B23" s="365"/>
      <c r="C23" s="365"/>
      <c r="D23" s="365"/>
      <c r="E23" s="365"/>
      <c r="F23" s="371"/>
      <c r="G23" s="387"/>
      <c r="H23" s="374"/>
      <c r="I23" s="377"/>
      <c r="J23" s="520"/>
      <c r="K23" s="523"/>
      <c r="L23" s="365"/>
      <c r="M23" s="365"/>
      <c r="N23" s="303">
        <v>45001</v>
      </c>
      <c r="O23" s="371"/>
      <c r="P23" s="296">
        <v>21890.9</v>
      </c>
      <c r="Q23" s="297">
        <v>45001</v>
      </c>
      <c r="R23" s="298"/>
      <c r="S23" s="296"/>
      <c r="T23" s="296"/>
      <c r="U23" s="374"/>
      <c r="V23" s="517"/>
      <c r="W23" s="385"/>
      <c r="X23" s="2">
        <v>20</v>
      </c>
    </row>
    <row r="24" spans="1:24" s="2" customFormat="1" x14ac:dyDescent="0.3">
      <c r="A24" s="389"/>
      <c r="B24" s="365"/>
      <c r="C24" s="365"/>
      <c r="D24" s="365"/>
      <c r="E24" s="365"/>
      <c r="F24" s="371"/>
      <c r="G24" s="387"/>
      <c r="H24" s="374"/>
      <c r="I24" s="377"/>
      <c r="J24" s="520"/>
      <c r="K24" s="523"/>
      <c r="L24" s="365"/>
      <c r="M24" s="365"/>
      <c r="N24" s="303">
        <v>45017</v>
      </c>
      <c r="O24" s="371"/>
      <c r="P24" s="296">
        <v>16418.169999999998</v>
      </c>
      <c r="Q24" s="297">
        <v>45022</v>
      </c>
      <c r="R24" s="298"/>
      <c r="S24" s="296"/>
      <c r="T24" s="296"/>
      <c r="U24" s="374"/>
      <c r="V24" s="517"/>
      <c r="W24" s="385"/>
      <c r="X24" s="2">
        <v>20</v>
      </c>
    </row>
    <row r="25" spans="1:24" s="2" customFormat="1" x14ac:dyDescent="0.3">
      <c r="A25" s="389"/>
      <c r="B25" s="365"/>
      <c r="C25" s="365"/>
      <c r="D25" s="365"/>
      <c r="E25" s="365"/>
      <c r="F25" s="371"/>
      <c r="G25" s="387"/>
      <c r="H25" s="374"/>
      <c r="I25" s="377"/>
      <c r="J25" s="520"/>
      <c r="K25" s="523"/>
      <c r="L25" s="365"/>
      <c r="M25" s="365"/>
      <c r="N25" s="303">
        <v>45016</v>
      </c>
      <c r="O25" s="371"/>
      <c r="P25" s="296">
        <v>13697.32</v>
      </c>
      <c r="Q25" s="297">
        <v>45030</v>
      </c>
      <c r="R25" s="298"/>
      <c r="S25" s="296"/>
      <c r="T25" s="296"/>
      <c r="U25" s="374"/>
      <c r="V25" s="517"/>
      <c r="W25" s="385"/>
      <c r="X25" s="2">
        <v>20</v>
      </c>
    </row>
    <row r="26" spans="1:24" s="2" customFormat="1" x14ac:dyDescent="0.3">
      <c r="A26" s="389"/>
      <c r="B26" s="365"/>
      <c r="C26" s="365"/>
      <c r="D26" s="365"/>
      <c r="E26" s="365"/>
      <c r="F26" s="371"/>
      <c r="G26" s="387"/>
      <c r="H26" s="374"/>
      <c r="I26" s="377"/>
      <c r="J26" s="520"/>
      <c r="K26" s="523"/>
      <c r="L26" s="365"/>
      <c r="M26" s="365"/>
      <c r="N26" s="303">
        <v>45017</v>
      </c>
      <c r="O26" s="371"/>
      <c r="P26" s="296">
        <v>20800.48</v>
      </c>
      <c r="Q26" s="297">
        <v>45033</v>
      </c>
      <c r="R26" s="298"/>
      <c r="S26" s="296"/>
      <c r="T26" s="296"/>
      <c r="U26" s="374"/>
      <c r="V26" s="517"/>
      <c r="W26" s="385"/>
      <c r="X26" s="2">
        <v>20</v>
      </c>
    </row>
    <row r="27" spans="1:24" s="2" customFormat="1" x14ac:dyDescent="0.3">
      <c r="A27" s="389"/>
      <c r="B27" s="365"/>
      <c r="C27" s="365"/>
      <c r="D27" s="365"/>
      <c r="E27" s="365"/>
      <c r="F27" s="371"/>
      <c r="G27" s="387"/>
      <c r="H27" s="374"/>
      <c r="I27" s="377"/>
      <c r="J27" s="520"/>
      <c r="K27" s="523"/>
      <c r="L27" s="365"/>
      <c r="M27" s="365"/>
      <c r="N27" s="303">
        <v>45047</v>
      </c>
      <c r="O27" s="371"/>
      <c r="P27" s="296">
        <v>15600.36</v>
      </c>
      <c r="Q27" s="297">
        <v>45049</v>
      </c>
      <c r="R27" s="298"/>
      <c r="S27" s="296"/>
      <c r="T27" s="296"/>
      <c r="U27" s="374"/>
      <c r="V27" s="517"/>
      <c r="W27" s="385"/>
      <c r="X27" s="2">
        <v>20</v>
      </c>
    </row>
    <row r="28" spans="1:24" s="2" customFormat="1" x14ac:dyDescent="0.3">
      <c r="A28" s="389"/>
      <c r="B28" s="365"/>
      <c r="C28" s="365"/>
      <c r="D28" s="365"/>
      <c r="E28" s="365"/>
      <c r="F28" s="371"/>
      <c r="G28" s="387"/>
      <c r="H28" s="374"/>
      <c r="I28" s="377"/>
      <c r="J28" s="520"/>
      <c r="K28" s="523"/>
      <c r="L28" s="365"/>
      <c r="M28" s="365"/>
      <c r="N28" s="303">
        <v>45046</v>
      </c>
      <c r="O28" s="371"/>
      <c r="P28" s="296">
        <v>13871.16</v>
      </c>
      <c r="Q28" s="297">
        <v>45064</v>
      </c>
      <c r="R28" s="298"/>
      <c r="S28" s="296"/>
      <c r="T28" s="296"/>
      <c r="U28" s="374"/>
      <c r="V28" s="517"/>
      <c r="W28" s="385"/>
      <c r="X28" s="2">
        <v>20</v>
      </c>
    </row>
    <row r="29" spans="1:24" s="2" customFormat="1" x14ac:dyDescent="0.3">
      <c r="A29" s="389"/>
      <c r="B29" s="365"/>
      <c r="C29" s="365"/>
      <c r="D29" s="365"/>
      <c r="E29" s="365"/>
      <c r="F29" s="371"/>
      <c r="G29" s="387"/>
      <c r="H29" s="374"/>
      <c r="I29" s="377"/>
      <c r="J29" s="520"/>
      <c r="K29" s="523"/>
      <c r="L29" s="365"/>
      <c r="M29" s="365"/>
      <c r="N29" s="303">
        <v>45047</v>
      </c>
      <c r="O29" s="371"/>
      <c r="P29" s="296">
        <v>22497.05</v>
      </c>
      <c r="Q29" s="297">
        <v>45064</v>
      </c>
      <c r="R29" s="298"/>
      <c r="S29" s="296"/>
      <c r="T29" s="296"/>
      <c r="U29" s="374"/>
      <c r="V29" s="517"/>
      <c r="W29" s="385"/>
      <c r="X29" s="2">
        <v>20</v>
      </c>
    </row>
    <row r="30" spans="1:24" s="2" customFormat="1" x14ac:dyDescent="0.3">
      <c r="A30" s="389"/>
      <c r="B30" s="365"/>
      <c r="C30" s="365"/>
      <c r="D30" s="365"/>
      <c r="E30" s="365"/>
      <c r="F30" s="371"/>
      <c r="G30" s="387"/>
      <c r="H30" s="374"/>
      <c r="I30" s="377"/>
      <c r="J30" s="520"/>
      <c r="K30" s="523"/>
      <c r="L30" s="365"/>
      <c r="M30" s="365"/>
      <c r="N30" s="303">
        <v>45078</v>
      </c>
      <c r="O30" s="371"/>
      <c r="P30" s="296">
        <v>16872.78</v>
      </c>
      <c r="Q30" s="297">
        <v>45083</v>
      </c>
      <c r="R30" s="298"/>
      <c r="S30" s="296"/>
      <c r="T30" s="296"/>
      <c r="U30" s="374"/>
      <c r="V30" s="517"/>
      <c r="W30" s="385"/>
      <c r="X30" s="2">
        <v>20</v>
      </c>
    </row>
    <row r="31" spans="1:24" s="2" customFormat="1" x14ac:dyDescent="0.3">
      <c r="A31" s="389"/>
      <c r="B31" s="365"/>
      <c r="C31" s="365"/>
      <c r="D31" s="365"/>
      <c r="E31" s="365"/>
      <c r="F31" s="371"/>
      <c r="G31" s="387"/>
      <c r="H31" s="374"/>
      <c r="I31" s="377"/>
      <c r="J31" s="520"/>
      <c r="K31" s="523"/>
      <c r="L31" s="365"/>
      <c r="M31" s="365"/>
      <c r="N31" s="303">
        <v>45078</v>
      </c>
      <c r="O31" s="371"/>
      <c r="P31" s="296">
        <v>12985.61</v>
      </c>
      <c r="Q31" s="297">
        <v>45093</v>
      </c>
      <c r="R31" s="298"/>
      <c r="S31" s="296"/>
      <c r="T31" s="296"/>
      <c r="U31" s="374"/>
      <c r="V31" s="517"/>
      <c r="W31" s="385"/>
      <c r="X31" s="2">
        <v>20</v>
      </c>
    </row>
    <row r="32" spans="1:24" s="2" customFormat="1" x14ac:dyDescent="0.3">
      <c r="A32" s="389"/>
      <c r="B32" s="365"/>
      <c r="C32" s="365"/>
      <c r="D32" s="365"/>
      <c r="E32" s="365"/>
      <c r="F32" s="371"/>
      <c r="G32" s="387"/>
      <c r="H32" s="374"/>
      <c r="I32" s="377"/>
      <c r="J32" s="520"/>
      <c r="K32" s="523"/>
      <c r="L32" s="365"/>
      <c r="M32" s="365"/>
      <c r="N32" s="303">
        <v>45108</v>
      </c>
      <c r="O32" s="371"/>
      <c r="P32" s="296">
        <v>9739.2000000000007</v>
      </c>
      <c r="Q32" s="297">
        <v>45110</v>
      </c>
      <c r="R32" s="298"/>
      <c r="S32" s="296"/>
      <c r="T32" s="296"/>
      <c r="U32" s="374"/>
      <c r="V32" s="517"/>
      <c r="W32" s="385"/>
      <c r="X32" s="2">
        <v>20</v>
      </c>
    </row>
    <row r="33" spans="1:24" s="2" customFormat="1" x14ac:dyDescent="0.3">
      <c r="A33" s="389"/>
      <c r="B33" s="365"/>
      <c r="C33" s="365"/>
      <c r="D33" s="365"/>
      <c r="E33" s="365"/>
      <c r="F33" s="371"/>
      <c r="G33" s="387"/>
      <c r="H33" s="374"/>
      <c r="I33" s="377"/>
      <c r="J33" s="520"/>
      <c r="K33" s="523"/>
      <c r="L33" s="365"/>
      <c r="M33" s="365"/>
      <c r="N33" s="303">
        <v>45108</v>
      </c>
      <c r="O33" s="371"/>
      <c r="P33" s="296">
        <v>8765.93</v>
      </c>
      <c r="Q33" s="297">
        <v>45125</v>
      </c>
      <c r="R33" s="298"/>
      <c r="S33" s="296"/>
      <c r="T33" s="296"/>
      <c r="U33" s="374"/>
      <c r="V33" s="517"/>
      <c r="W33" s="385"/>
      <c r="X33" s="2">
        <v>20</v>
      </c>
    </row>
    <row r="34" spans="1:24" s="2" customFormat="1" x14ac:dyDescent="0.3">
      <c r="A34" s="389"/>
      <c r="B34" s="365"/>
      <c r="C34" s="365"/>
      <c r="D34" s="365"/>
      <c r="E34" s="365"/>
      <c r="F34" s="371"/>
      <c r="G34" s="387"/>
      <c r="H34" s="374"/>
      <c r="I34" s="377"/>
      <c r="J34" s="520"/>
      <c r="K34" s="523"/>
      <c r="L34" s="365"/>
      <c r="M34" s="365"/>
      <c r="N34" s="303"/>
      <c r="O34" s="371"/>
      <c r="P34" s="296"/>
      <c r="Q34" s="297"/>
      <c r="R34" s="298"/>
      <c r="S34" s="296"/>
      <c r="T34" s="296"/>
      <c r="U34" s="374"/>
      <c r="V34" s="517"/>
      <c r="W34" s="385"/>
      <c r="X34" s="2">
        <v>20</v>
      </c>
    </row>
    <row r="35" spans="1:24" s="2" customFormat="1" x14ac:dyDescent="0.3">
      <c r="A35" s="380"/>
      <c r="B35" s="366"/>
      <c r="C35" s="366"/>
      <c r="D35" s="366"/>
      <c r="E35" s="366"/>
      <c r="F35" s="372"/>
      <c r="G35" s="388"/>
      <c r="H35" s="375"/>
      <c r="I35" s="378"/>
      <c r="J35" s="521"/>
      <c r="K35" s="524"/>
      <c r="L35" s="366"/>
      <c r="M35" s="366"/>
      <c r="N35" s="304"/>
      <c r="O35" s="372"/>
      <c r="P35" s="299"/>
      <c r="Q35" s="300"/>
      <c r="R35" s="301"/>
      <c r="S35" s="299"/>
      <c r="T35" s="299"/>
      <c r="U35" s="375"/>
      <c r="V35" s="518"/>
      <c r="W35" s="384"/>
      <c r="X35" s="2">
        <v>20</v>
      </c>
    </row>
    <row r="36" spans="1:24" s="108" customFormat="1" ht="93.75" customHeight="1" x14ac:dyDescent="0.3">
      <c r="A36" s="379">
        <v>4</v>
      </c>
      <c r="B36" s="364" t="s">
        <v>56</v>
      </c>
      <c r="C36" s="364" t="s">
        <v>146</v>
      </c>
      <c r="D36" s="364" t="s">
        <v>147</v>
      </c>
      <c r="E36" s="364" t="s">
        <v>191</v>
      </c>
      <c r="F36" s="370">
        <v>44925</v>
      </c>
      <c r="G36" s="386" t="s">
        <v>149</v>
      </c>
      <c r="H36" s="373">
        <v>45256.38</v>
      </c>
      <c r="I36" s="376">
        <f>IF(X36 = 21, H36 + SUM(S36:S41) - SUM(T36:T41) - SUM(P36:P41) - V36,0)</f>
        <v>22628.16</v>
      </c>
      <c r="J36" s="519">
        <v>2308131994</v>
      </c>
      <c r="K36" s="522" t="s">
        <v>178</v>
      </c>
      <c r="L36" s="364" t="s">
        <v>146</v>
      </c>
      <c r="M36" s="364"/>
      <c r="N36" s="302">
        <v>44957</v>
      </c>
      <c r="O36" s="370" t="s">
        <v>187</v>
      </c>
      <c r="P36" s="293">
        <v>3771.37</v>
      </c>
      <c r="Q36" s="294">
        <v>44963</v>
      </c>
      <c r="R36" s="295"/>
      <c r="S36" s="293"/>
      <c r="T36" s="293"/>
      <c r="U36" s="373"/>
      <c r="V36" s="516"/>
      <c r="W36" s="383"/>
      <c r="X36" s="108">
        <v>21</v>
      </c>
    </row>
    <row r="37" spans="1:24" s="2" customFormat="1" x14ac:dyDescent="0.3">
      <c r="A37" s="389"/>
      <c r="B37" s="365"/>
      <c r="C37" s="365"/>
      <c r="D37" s="365"/>
      <c r="E37" s="365"/>
      <c r="F37" s="371"/>
      <c r="G37" s="387"/>
      <c r="H37" s="374"/>
      <c r="I37" s="377"/>
      <c r="J37" s="520"/>
      <c r="K37" s="523"/>
      <c r="L37" s="365"/>
      <c r="M37" s="365"/>
      <c r="N37" s="303">
        <v>44985</v>
      </c>
      <c r="O37" s="371"/>
      <c r="P37" s="296">
        <v>3771.37</v>
      </c>
      <c r="Q37" s="297">
        <v>44995</v>
      </c>
      <c r="R37" s="298"/>
      <c r="S37" s="296"/>
      <c r="T37" s="296"/>
      <c r="U37" s="374"/>
      <c r="V37" s="517"/>
      <c r="W37" s="385"/>
      <c r="X37" s="2">
        <v>21</v>
      </c>
    </row>
    <row r="38" spans="1:24" s="2" customFormat="1" x14ac:dyDescent="0.3">
      <c r="A38" s="389"/>
      <c r="B38" s="365"/>
      <c r="C38" s="365"/>
      <c r="D38" s="365"/>
      <c r="E38" s="365"/>
      <c r="F38" s="371"/>
      <c r="G38" s="387"/>
      <c r="H38" s="374"/>
      <c r="I38" s="377"/>
      <c r="J38" s="520"/>
      <c r="K38" s="523"/>
      <c r="L38" s="365"/>
      <c r="M38" s="365"/>
      <c r="N38" s="303">
        <v>45016</v>
      </c>
      <c r="O38" s="371"/>
      <c r="P38" s="296">
        <v>3771.37</v>
      </c>
      <c r="Q38" s="297">
        <v>45022</v>
      </c>
      <c r="R38" s="298"/>
      <c r="S38" s="296"/>
      <c r="T38" s="296"/>
      <c r="U38" s="374"/>
      <c r="V38" s="517"/>
      <c r="W38" s="385"/>
      <c r="X38" s="2">
        <v>21</v>
      </c>
    </row>
    <row r="39" spans="1:24" s="2" customFormat="1" x14ac:dyDescent="0.3">
      <c r="A39" s="389"/>
      <c r="B39" s="365"/>
      <c r="C39" s="365"/>
      <c r="D39" s="365"/>
      <c r="E39" s="365"/>
      <c r="F39" s="371"/>
      <c r="G39" s="387"/>
      <c r="H39" s="374"/>
      <c r="I39" s="377"/>
      <c r="J39" s="520"/>
      <c r="K39" s="523"/>
      <c r="L39" s="365"/>
      <c r="M39" s="365"/>
      <c r="N39" s="303">
        <v>45046</v>
      </c>
      <c r="O39" s="371"/>
      <c r="P39" s="296">
        <v>3771.37</v>
      </c>
      <c r="Q39" s="297">
        <v>45051</v>
      </c>
      <c r="R39" s="298"/>
      <c r="S39" s="296"/>
      <c r="T39" s="296"/>
      <c r="U39" s="374"/>
      <c r="V39" s="517"/>
      <c r="W39" s="385"/>
      <c r="X39" s="2">
        <v>21</v>
      </c>
    </row>
    <row r="40" spans="1:24" s="2" customFormat="1" x14ac:dyDescent="0.3">
      <c r="A40" s="389"/>
      <c r="B40" s="365"/>
      <c r="C40" s="365"/>
      <c r="D40" s="365"/>
      <c r="E40" s="365"/>
      <c r="F40" s="371"/>
      <c r="G40" s="387"/>
      <c r="H40" s="374"/>
      <c r="I40" s="377"/>
      <c r="J40" s="520"/>
      <c r="K40" s="523"/>
      <c r="L40" s="365"/>
      <c r="M40" s="365"/>
      <c r="N40" s="303">
        <v>45077</v>
      </c>
      <c r="O40" s="371"/>
      <c r="P40" s="296">
        <v>3771.37</v>
      </c>
      <c r="Q40" s="297">
        <v>45083</v>
      </c>
      <c r="R40" s="298"/>
      <c r="S40" s="296"/>
      <c r="T40" s="296"/>
      <c r="U40" s="374"/>
      <c r="V40" s="517"/>
      <c r="W40" s="385"/>
      <c r="X40" s="2">
        <v>21</v>
      </c>
    </row>
    <row r="41" spans="1:24" s="2" customFormat="1" x14ac:dyDescent="0.3">
      <c r="A41" s="380"/>
      <c r="B41" s="366"/>
      <c r="C41" s="366"/>
      <c r="D41" s="366"/>
      <c r="E41" s="366"/>
      <c r="F41" s="372"/>
      <c r="G41" s="388"/>
      <c r="H41" s="375"/>
      <c r="I41" s="378"/>
      <c r="J41" s="521"/>
      <c r="K41" s="524"/>
      <c r="L41" s="366"/>
      <c r="M41" s="366"/>
      <c r="N41" s="304">
        <v>45107</v>
      </c>
      <c r="O41" s="372"/>
      <c r="P41" s="299">
        <v>3771.37</v>
      </c>
      <c r="Q41" s="300">
        <v>45114</v>
      </c>
      <c r="R41" s="301"/>
      <c r="S41" s="299"/>
      <c r="T41" s="299"/>
      <c r="U41" s="375"/>
      <c r="V41" s="518"/>
      <c r="W41" s="384"/>
      <c r="X41" s="2">
        <v>21</v>
      </c>
    </row>
    <row r="42" spans="1:24" s="108" customFormat="1" ht="187.5" customHeight="1" x14ac:dyDescent="0.3">
      <c r="A42" s="538">
        <v>5</v>
      </c>
      <c r="B42" s="577" t="s">
        <v>56</v>
      </c>
      <c r="C42" s="577" t="s">
        <v>146</v>
      </c>
      <c r="D42" s="577" t="s">
        <v>147</v>
      </c>
      <c r="E42" s="577" t="s">
        <v>36</v>
      </c>
      <c r="F42" s="541">
        <v>44951</v>
      </c>
      <c r="G42" s="591" t="s">
        <v>189</v>
      </c>
      <c r="H42" s="582">
        <v>362529.7</v>
      </c>
      <c r="I42" s="594">
        <f>IF(X42 = 22, H42 + SUM(S42:S51) - SUM(T42:T51) - SUM(P42:P51) - V42,0)</f>
        <v>0</v>
      </c>
      <c r="J42" s="597">
        <v>2353020735</v>
      </c>
      <c r="K42" s="600" t="s">
        <v>157</v>
      </c>
      <c r="L42" s="577" t="s">
        <v>146</v>
      </c>
      <c r="M42" s="577"/>
      <c r="N42" s="136">
        <v>44946</v>
      </c>
      <c r="O42" s="541" t="s">
        <v>181</v>
      </c>
      <c r="P42" s="137">
        <v>5322.73</v>
      </c>
      <c r="Q42" s="138">
        <v>44965</v>
      </c>
      <c r="R42" s="139"/>
      <c r="S42" s="137"/>
      <c r="T42" s="137"/>
      <c r="U42" s="582"/>
      <c r="V42" s="585">
        <v>72430.570000000007</v>
      </c>
      <c r="W42" s="588"/>
      <c r="X42" s="108">
        <v>22</v>
      </c>
    </row>
    <row r="43" spans="1:24" s="2" customFormat="1" x14ac:dyDescent="0.3">
      <c r="A43" s="539"/>
      <c r="B43" s="578"/>
      <c r="C43" s="578"/>
      <c r="D43" s="578"/>
      <c r="E43" s="578"/>
      <c r="F43" s="542"/>
      <c r="G43" s="592"/>
      <c r="H43" s="583"/>
      <c r="I43" s="595"/>
      <c r="J43" s="598"/>
      <c r="K43" s="601"/>
      <c r="L43" s="578"/>
      <c r="M43" s="578"/>
      <c r="N43" s="144">
        <v>44946</v>
      </c>
      <c r="O43" s="542"/>
      <c r="P43" s="145">
        <v>83387.759999999995</v>
      </c>
      <c r="Q43" s="146">
        <v>44967</v>
      </c>
      <c r="R43" s="147"/>
      <c r="S43" s="145"/>
      <c r="T43" s="145"/>
      <c r="U43" s="583"/>
      <c r="V43" s="586"/>
      <c r="W43" s="589"/>
      <c r="X43" s="2">
        <v>22</v>
      </c>
    </row>
    <row r="44" spans="1:24" s="2" customFormat="1" x14ac:dyDescent="0.3">
      <c r="A44" s="539"/>
      <c r="B44" s="578"/>
      <c r="C44" s="578"/>
      <c r="D44" s="578"/>
      <c r="E44" s="578"/>
      <c r="F44" s="542"/>
      <c r="G44" s="592"/>
      <c r="H44" s="583"/>
      <c r="I44" s="595"/>
      <c r="J44" s="598"/>
      <c r="K44" s="601"/>
      <c r="L44" s="578"/>
      <c r="M44" s="578"/>
      <c r="N44" s="144">
        <v>44957</v>
      </c>
      <c r="O44" s="542"/>
      <c r="P44" s="145">
        <v>58732.75</v>
      </c>
      <c r="Q44" s="146">
        <v>44970</v>
      </c>
      <c r="R44" s="147"/>
      <c r="S44" s="145"/>
      <c r="T44" s="145"/>
      <c r="U44" s="583"/>
      <c r="V44" s="586"/>
      <c r="W44" s="589"/>
      <c r="X44" s="2">
        <v>22</v>
      </c>
    </row>
    <row r="45" spans="1:24" s="2" customFormat="1" x14ac:dyDescent="0.3">
      <c r="A45" s="539"/>
      <c r="B45" s="578"/>
      <c r="C45" s="578"/>
      <c r="D45" s="578"/>
      <c r="E45" s="578"/>
      <c r="F45" s="542"/>
      <c r="G45" s="592"/>
      <c r="H45" s="583"/>
      <c r="I45" s="595"/>
      <c r="J45" s="598"/>
      <c r="K45" s="601"/>
      <c r="L45" s="578"/>
      <c r="M45" s="578"/>
      <c r="N45" s="144">
        <v>44957</v>
      </c>
      <c r="O45" s="542"/>
      <c r="P45" s="145">
        <v>3748.98</v>
      </c>
      <c r="Q45" s="146">
        <v>44970</v>
      </c>
      <c r="R45" s="147"/>
      <c r="S45" s="145"/>
      <c r="T45" s="145"/>
      <c r="U45" s="583"/>
      <c r="V45" s="586"/>
      <c r="W45" s="589"/>
      <c r="X45" s="2">
        <v>22</v>
      </c>
    </row>
    <row r="46" spans="1:24" s="2" customFormat="1" x14ac:dyDescent="0.3">
      <c r="A46" s="539"/>
      <c r="B46" s="578"/>
      <c r="C46" s="578"/>
      <c r="D46" s="578"/>
      <c r="E46" s="578"/>
      <c r="F46" s="542"/>
      <c r="G46" s="592"/>
      <c r="H46" s="583"/>
      <c r="I46" s="595"/>
      <c r="J46" s="598"/>
      <c r="K46" s="601"/>
      <c r="L46" s="578"/>
      <c r="M46" s="578"/>
      <c r="N46" s="144">
        <v>44960</v>
      </c>
      <c r="O46" s="542"/>
      <c r="P46" s="145">
        <v>24513.31</v>
      </c>
      <c r="Q46" s="146">
        <v>44970</v>
      </c>
      <c r="R46" s="147"/>
      <c r="S46" s="145"/>
      <c r="T46" s="145"/>
      <c r="U46" s="583"/>
      <c r="V46" s="586"/>
      <c r="W46" s="589"/>
      <c r="X46" s="2">
        <v>22</v>
      </c>
    </row>
    <row r="47" spans="1:24" s="2" customFormat="1" x14ac:dyDescent="0.3">
      <c r="A47" s="539"/>
      <c r="B47" s="578"/>
      <c r="C47" s="578"/>
      <c r="D47" s="578"/>
      <c r="E47" s="578"/>
      <c r="F47" s="542"/>
      <c r="G47" s="592"/>
      <c r="H47" s="583"/>
      <c r="I47" s="595"/>
      <c r="J47" s="598"/>
      <c r="K47" s="601"/>
      <c r="L47" s="578"/>
      <c r="M47" s="578"/>
      <c r="N47" s="144">
        <v>44960</v>
      </c>
      <c r="O47" s="542"/>
      <c r="P47" s="145">
        <v>1564.71</v>
      </c>
      <c r="Q47" s="146">
        <v>44970</v>
      </c>
      <c r="R47" s="147"/>
      <c r="S47" s="145"/>
      <c r="T47" s="145"/>
      <c r="U47" s="583"/>
      <c r="V47" s="586"/>
      <c r="W47" s="589"/>
      <c r="X47" s="2">
        <v>22</v>
      </c>
    </row>
    <row r="48" spans="1:24" s="2" customFormat="1" x14ac:dyDescent="0.3">
      <c r="A48" s="539"/>
      <c r="B48" s="578"/>
      <c r="C48" s="578"/>
      <c r="D48" s="578"/>
      <c r="E48" s="578"/>
      <c r="F48" s="542"/>
      <c r="G48" s="592"/>
      <c r="H48" s="583"/>
      <c r="I48" s="595"/>
      <c r="J48" s="598"/>
      <c r="K48" s="601"/>
      <c r="L48" s="578"/>
      <c r="M48" s="578"/>
      <c r="N48" s="144">
        <v>44974</v>
      </c>
      <c r="O48" s="542"/>
      <c r="P48" s="145">
        <v>65463.29</v>
      </c>
      <c r="Q48" s="146">
        <v>44986</v>
      </c>
      <c r="R48" s="147"/>
      <c r="S48" s="145"/>
      <c r="T48" s="145"/>
      <c r="U48" s="583"/>
      <c r="V48" s="586"/>
      <c r="W48" s="589"/>
      <c r="X48" s="2">
        <v>22</v>
      </c>
    </row>
    <row r="49" spans="1:24" s="2" customFormat="1" x14ac:dyDescent="0.3">
      <c r="A49" s="539"/>
      <c r="B49" s="578"/>
      <c r="C49" s="578"/>
      <c r="D49" s="578"/>
      <c r="E49" s="578"/>
      <c r="F49" s="542"/>
      <c r="G49" s="592"/>
      <c r="H49" s="583"/>
      <c r="I49" s="595"/>
      <c r="J49" s="598"/>
      <c r="K49" s="601"/>
      <c r="L49" s="578"/>
      <c r="M49" s="578"/>
      <c r="N49" s="144">
        <v>44974</v>
      </c>
      <c r="O49" s="542"/>
      <c r="P49" s="145">
        <v>4178.59</v>
      </c>
      <c r="Q49" s="146">
        <v>44986</v>
      </c>
      <c r="R49" s="147"/>
      <c r="S49" s="145"/>
      <c r="T49" s="145"/>
      <c r="U49" s="583"/>
      <c r="V49" s="586"/>
      <c r="W49" s="589"/>
      <c r="X49" s="2">
        <v>22</v>
      </c>
    </row>
    <row r="50" spans="1:24" s="2" customFormat="1" x14ac:dyDescent="0.3">
      <c r="A50" s="539"/>
      <c r="B50" s="578"/>
      <c r="C50" s="578"/>
      <c r="D50" s="578"/>
      <c r="E50" s="578"/>
      <c r="F50" s="542"/>
      <c r="G50" s="592"/>
      <c r="H50" s="583"/>
      <c r="I50" s="595"/>
      <c r="J50" s="598"/>
      <c r="K50" s="601"/>
      <c r="L50" s="578"/>
      <c r="M50" s="578"/>
      <c r="N50" s="144">
        <v>44985</v>
      </c>
      <c r="O50" s="542"/>
      <c r="P50" s="145">
        <v>40595.74</v>
      </c>
      <c r="Q50" s="146">
        <v>45002</v>
      </c>
      <c r="R50" s="147"/>
      <c r="S50" s="145"/>
      <c r="T50" s="145"/>
      <c r="U50" s="583"/>
      <c r="V50" s="586"/>
      <c r="W50" s="589"/>
      <c r="X50" s="2">
        <v>22</v>
      </c>
    </row>
    <row r="51" spans="1:24" s="2" customFormat="1" x14ac:dyDescent="0.3">
      <c r="A51" s="540"/>
      <c r="B51" s="579"/>
      <c r="C51" s="579"/>
      <c r="D51" s="579"/>
      <c r="E51" s="579"/>
      <c r="F51" s="543"/>
      <c r="G51" s="593"/>
      <c r="H51" s="584"/>
      <c r="I51" s="596"/>
      <c r="J51" s="599"/>
      <c r="K51" s="602"/>
      <c r="L51" s="579"/>
      <c r="M51" s="579"/>
      <c r="N51" s="140">
        <v>44985</v>
      </c>
      <c r="O51" s="543"/>
      <c r="P51" s="141">
        <v>2591.27</v>
      </c>
      <c r="Q51" s="142">
        <v>45002</v>
      </c>
      <c r="R51" s="143"/>
      <c r="S51" s="141"/>
      <c r="T51" s="141"/>
      <c r="U51" s="584"/>
      <c r="V51" s="587"/>
      <c r="W51" s="590"/>
      <c r="X51" s="2">
        <v>22</v>
      </c>
    </row>
    <row r="52" spans="1:24" s="108" customFormat="1" ht="187.5" customHeight="1" x14ac:dyDescent="0.3">
      <c r="A52" s="538">
        <v>6</v>
      </c>
      <c r="B52" s="577" t="s">
        <v>56</v>
      </c>
      <c r="C52" s="577" t="s">
        <v>146</v>
      </c>
      <c r="D52" s="577" t="s">
        <v>147</v>
      </c>
      <c r="E52" s="577" t="s">
        <v>110</v>
      </c>
      <c r="F52" s="541">
        <v>44951</v>
      </c>
      <c r="G52" s="591" t="s">
        <v>189</v>
      </c>
      <c r="H52" s="582">
        <v>120250</v>
      </c>
      <c r="I52" s="594">
        <f>IF(X52 = 23, H52 + SUM(S52:S56) - SUM(T52:T56) - SUM(P52:P56) - V52,0)</f>
        <v>0</v>
      </c>
      <c r="J52" s="597">
        <v>2353020735</v>
      </c>
      <c r="K52" s="600" t="s">
        <v>157</v>
      </c>
      <c r="L52" s="577" t="s">
        <v>146</v>
      </c>
      <c r="M52" s="577"/>
      <c r="N52" s="136">
        <v>44946</v>
      </c>
      <c r="O52" s="541" t="s">
        <v>181</v>
      </c>
      <c r="P52" s="137">
        <v>29425</v>
      </c>
      <c r="Q52" s="138">
        <v>44965</v>
      </c>
      <c r="R52" s="139"/>
      <c r="S52" s="137"/>
      <c r="T52" s="137"/>
      <c r="U52" s="582"/>
      <c r="V52" s="585">
        <v>24025</v>
      </c>
      <c r="W52" s="588"/>
      <c r="X52" s="108">
        <v>23</v>
      </c>
    </row>
    <row r="53" spans="1:24" s="2" customFormat="1" x14ac:dyDescent="0.3">
      <c r="A53" s="539"/>
      <c r="B53" s="578"/>
      <c r="C53" s="578"/>
      <c r="D53" s="578"/>
      <c r="E53" s="578"/>
      <c r="F53" s="542"/>
      <c r="G53" s="592"/>
      <c r="H53" s="583"/>
      <c r="I53" s="595"/>
      <c r="J53" s="598"/>
      <c r="K53" s="601"/>
      <c r="L53" s="578"/>
      <c r="M53" s="578"/>
      <c r="N53" s="144">
        <v>44957</v>
      </c>
      <c r="O53" s="542"/>
      <c r="P53" s="145">
        <v>20725</v>
      </c>
      <c r="Q53" s="146">
        <v>44970</v>
      </c>
      <c r="R53" s="147"/>
      <c r="S53" s="145"/>
      <c r="T53" s="145"/>
      <c r="U53" s="583"/>
      <c r="V53" s="586"/>
      <c r="W53" s="589"/>
      <c r="X53" s="2">
        <v>23</v>
      </c>
    </row>
    <row r="54" spans="1:24" s="2" customFormat="1" x14ac:dyDescent="0.3">
      <c r="A54" s="539"/>
      <c r="B54" s="578"/>
      <c r="C54" s="578"/>
      <c r="D54" s="578"/>
      <c r="E54" s="578"/>
      <c r="F54" s="542"/>
      <c r="G54" s="592"/>
      <c r="H54" s="583"/>
      <c r="I54" s="595"/>
      <c r="J54" s="598"/>
      <c r="K54" s="601"/>
      <c r="L54" s="578"/>
      <c r="M54" s="578"/>
      <c r="N54" s="144">
        <v>44960</v>
      </c>
      <c r="O54" s="542"/>
      <c r="P54" s="145">
        <v>8650</v>
      </c>
      <c r="Q54" s="146">
        <v>44970</v>
      </c>
      <c r="R54" s="147"/>
      <c r="S54" s="145"/>
      <c r="T54" s="145"/>
      <c r="U54" s="583"/>
      <c r="V54" s="586"/>
      <c r="W54" s="589"/>
      <c r="X54" s="2">
        <v>23</v>
      </c>
    </row>
    <row r="55" spans="1:24" s="2" customFormat="1" x14ac:dyDescent="0.3">
      <c r="A55" s="539"/>
      <c r="B55" s="578"/>
      <c r="C55" s="578"/>
      <c r="D55" s="578"/>
      <c r="E55" s="578"/>
      <c r="F55" s="542"/>
      <c r="G55" s="592"/>
      <c r="H55" s="583"/>
      <c r="I55" s="595"/>
      <c r="J55" s="598"/>
      <c r="K55" s="601"/>
      <c r="L55" s="578"/>
      <c r="M55" s="578"/>
      <c r="N55" s="144">
        <v>44974</v>
      </c>
      <c r="O55" s="542"/>
      <c r="P55" s="145">
        <v>23100</v>
      </c>
      <c r="Q55" s="146">
        <v>44986</v>
      </c>
      <c r="R55" s="147"/>
      <c r="S55" s="145"/>
      <c r="T55" s="145"/>
      <c r="U55" s="583"/>
      <c r="V55" s="586"/>
      <c r="W55" s="589"/>
      <c r="X55" s="2">
        <v>23</v>
      </c>
    </row>
    <row r="56" spans="1:24" s="2" customFormat="1" x14ac:dyDescent="0.3">
      <c r="A56" s="540"/>
      <c r="B56" s="579"/>
      <c r="C56" s="579"/>
      <c r="D56" s="579"/>
      <c r="E56" s="579"/>
      <c r="F56" s="543"/>
      <c r="G56" s="593"/>
      <c r="H56" s="584"/>
      <c r="I56" s="596"/>
      <c r="J56" s="599"/>
      <c r="K56" s="602"/>
      <c r="L56" s="579"/>
      <c r="M56" s="579"/>
      <c r="N56" s="140">
        <v>44985</v>
      </c>
      <c r="O56" s="543"/>
      <c r="P56" s="141">
        <v>14325</v>
      </c>
      <c r="Q56" s="142">
        <v>44995</v>
      </c>
      <c r="R56" s="143"/>
      <c r="S56" s="141"/>
      <c r="T56" s="141"/>
      <c r="U56" s="584"/>
      <c r="V56" s="587"/>
      <c r="W56" s="590"/>
      <c r="X56" s="2">
        <v>23</v>
      </c>
    </row>
    <row r="57" spans="1:24" s="108" customFormat="1" ht="108" x14ac:dyDescent="0.3">
      <c r="A57" s="124">
        <v>7</v>
      </c>
      <c r="B57" s="125" t="s">
        <v>56</v>
      </c>
      <c r="C57" s="125" t="s">
        <v>146</v>
      </c>
      <c r="D57" s="125" t="s">
        <v>195</v>
      </c>
      <c r="E57" s="125" t="s">
        <v>112</v>
      </c>
      <c r="F57" s="135">
        <v>44951</v>
      </c>
      <c r="G57" s="126" t="s">
        <v>196</v>
      </c>
      <c r="H57" s="127">
        <v>49130</v>
      </c>
      <c r="I57" s="128">
        <f>IF(X57 = 24, H57 + SUM(S57:S57) - SUM(T57:T57) - SUM(P57:P57) - V57,0)</f>
        <v>0</v>
      </c>
      <c r="J57" s="129">
        <v>235303483777</v>
      </c>
      <c r="K57" s="130" t="s">
        <v>197</v>
      </c>
      <c r="L57" s="125" t="s">
        <v>146</v>
      </c>
      <c r="M57" s="125"/>
      <c r="N57" s="135">
        <v>44951</v>
      </c>
      <c r="O57" s="135" t="s">
        <v>181</v>
      </c>
      <c r="P57" s="127">
        <v>49130</v>
      </c>
      <c r="Q57" s="126">
        <v>44953</v>
      </c>
      <c r="R57" s="125"/>
      <c r="S57" s="127"/>
      <c r="T57" s="127"/>
      <c r="U57" s="127"/>
      <c r="V57" s="131"/>
      <c r="W57" s="133"/>
      <c r="X57" s="108">
        <v>24</v>
      </c>
    </row>
    <row r="58" spans="1:24" s="108" customFormat="1" ht="131.25" customHeight="1" x14ac:dyDescent="0.3">
      <c r="A58" s="391">
        <v>8</v>
      </c>
      <c r="B58" s="397" t="s">
        <v>56</v>
      </c>
      <c r="C58" s="397" t="s">
        <v>146</v>
      </c>
      <c r="D58" s="397" t="s">
        <v>199</v>
      </c>
      <c r="E58" s="397" t="s">
        <v>114</v>
      </c>
      <c r="F58" s="393">
        <v>44951</v>
      </c>
      <c r="G58" s="527" t="s">
        <v>198</v>
      </c>
      <c r="H58" s="395">
        <v>119880</v>
      </c>
      <c r="I58" s="405">
        <f>IF(X58 = 25, H58 + SUM(S58:S67) - SUM(T58:T67) - SUM(P58:P67) - V58,0)</f>
        <v>0</v>
      </c>
      <c r="J58" s="529">
        <v>2353020735</v>
      </c>
      <c r="K58" s="531" t="s">
        <v>157</v>
      </c>
      <c r="L58" s="397" t="s">
        <v>146</v>
      </c>
      <c r="M58" s="397"/>
      <c r="N58" s="263">
        <v>44957</v>
      </c>
      <c r="O58" s="393" t="s">
        <v>181</v>
      </c>
      <c r="P58" s="257">
        <v>8190</v>
      </c>
      <c r="Q58" s="258">
        <v>44970</v>
      </c>
      <c r="R58" s="259"/>
      <c r="S58" s="257"/>
      <c r="T58" s="257"/>
      <c r="U58" s="395" t="s">
        <v>345</v>
      </c>
      <c r="V58" s="525">
        <v>36644</v>
      </c>
      <c r="W58" s="401"/>
      <c r="X58" s="108">
        <v>25</v>
      </c>
    </row>
    <row r="59" spans="1:24" s="2" customFormat="1" x14ac:dyDescent="0.3">
      <c r="A59" s="533"/>
      <c r="B59" s="536"/>
      <c r="C59" s="536"/>
      <c r="D59" s="536"/>
      <c r="E59" s="536"/>
      <c r="F59" s="534"/>
      <c r="G59" s="545"/>
      <c r="H59" s="535"/>
      <c r="I59" s="546"/>
      <c r="J59" s="547"/>
      <c r="K59" s="548"/>
      <c r="L59" s="536"/>
      <c r="M59" s="536"/>
      <c r="N59" s="268">
        <v>44951</v>
      </c>
      <c r="O59" s="534"/>
      <c r="P59" s="265">
        <v>10764</v>
      </c>
      <c r="Q59" s="266">
        <v>44970</v>
      </c>
      <c r="R59" s="267"/>
      <c r="S59" s="265"/>
      <c r="T59" s="265"/>
      <c r="U59" s="535"/>
      <c r="V59" s="537"/>
      <c r="W59" s="544"/>
      <c r="X59" s="2">
        <v>25</v>
      </c>
    </row>
    <row r="60" spans="1:24" s="2" customFormat="1" x14ac:dyDescent="0.3">
      <c r="A60" s="533"/>
      <c r="B60" s="536"/>
      <c r="C60" s="536"/>
      <c r="D60" s="536"/>
      <c r="E60" s="536"/>
      <c r="F60" s="534"/>
      <c r="G60" s="545"/>
      <c r="H60" s="535"/>
      <c r="I60" s="546"/>
      <c r="J60" s="547"/>
      <c r="K60" s="548"/>
      <c r="L60" s="536"/>
      <c r="M60" s="536"/>
      <c r="N60" s="268">
        <v>44985</v>
      </c>
      <c r="O60" s="534"/>
      <c r="P60" s="265">
        <v>6430</v>
      </c>
      <c r="Q60" s="266">
        <v>44995</v>
      </c>
      <c r="R60" s="267"/>
      <c r="S60" s="265"/>
      <c r="T60" s="265"/>
      <c r="U60" s="535"/>
      <c r="V60" s="537"/>
      <c r="W60" s="544"/>
      <c r="X60" s="2">
        <v>25</v>
      </c>
    </row>
    <row r="61" spans="1:24" s="2" customFormat="1" x14ac:dyDescent="0.3">
      <c r="A61" s="533"/>
      <c r="B61" s="536"/>
      <c r="C61" s="536"/>
      <c r="D61" s="536"/>
      <c r="E61" s="536"/>
      <c r="F61" s="534"/>
      <c r="G61" s="545"/>
      <c r="H61" s="535"/>
      <c r="I61" s="546"/>
      <c r="J61" s="547"/>
      <c r="K61" s="548"/>
      <c r="L61" s="536"/>
      <c r="M61" s="536"/>
      <c r="N61" s="268">
        <v>44985</v>
      </c>
      <c r="O61" s="534"/>
      <c r="P61" s="265">
        <v>11316</v>
      </c>
      <c r="Q61" s="266">
        <v>44995</v>
      </c>
      <c r="R61" s="267"/>
      <c r="S61" s="265"/>
      <c r="T61" s="265"/>
      <c r="U61" s="535"/>
      <c r="V61" s="537"/>
      <c r="W61" s="544"/>
      <c r="X61" s="2">
        <v>25</v>
      </c>
    </row>
    <row r="62" spans="1:24" s="2" customFormat="1" x14ac:dyDescent="0.3">
      <c r="A62" s="533"/>
      <c r="B62" s="536"/>
      <c r="C62" s="536"/>
      <c r="D62" s="536"/>
      <c r="E62" s="536"/>
      <c r="F62" s="534"/>
      <c r="G62" s="545"/>
      <c r="H62" s="535"/>
      <c r="I62" s="546"/>
      <c r="J62" s="547"/>
      <c r="K62" s="548"/>
      <c r="L62" s="536"/>
      <c r="M62" s="536"/>
      <c r="N62" s="268">
        <v>45009</v>
      </c>
      <c r="O62" s="534"/>
      <c r="P62" s="265">
        <v>6030</v>
      </c>
      <c r="Q62" s="266">
        <v>45023</v>
      </c>
      <c r="R62" s="267"/>
      <c r="S62" s="265"/>
      <c r="T62" s="265"/>
      <c r="U62" s="535"/>
      <c r="V62" s="537"/>
      <c r="W62" s="544"/>
      <c r="X62" s="2">
        <v>25</v>
      </c>
    </row>
    <row r="63" spans="1:24" s="2" customFormat="1" x14ac:dyDescent="0.3">
      <c r="A63" s="533"/>
      <c r="B63" s="536"/>
      <c r="C63" s="536"/>
      <c r="D63" s="536"/>
      <c r="E63" s="536"/>
      <c r="F63" s="534"/>
      <c r="G63" s="545"/>
      <c r="H63" s="535"/>
      <c r="I63" s="546"/>
      <c r="J63" s="547"/>
      <c r="K63" s="548"/>
      <c r="L63" s="536"/>
      <c r="M63" s="536"/>
      <c r="N63" s="268">
        <v>45009</v>
      </c>
      <c r="O63" s="534"/>
      <c r="P63" s="265">
        <v>10830</v>
      </c>
      <c r="Q63" s="266">
        <v>45023</v>
      </c>
      <c r="R63" s="267"/>
      <c r="S63" s="265"/>
      <c r="T63" s="265"/>
      <c r="U63" s="535"/>
      <c r="V63" s="537"/>
      <c r="W63" s="544"/>
      <c r="X63" s="2">
        <v>25</v>
      </c>
    </row>
    <row r="64" spans="1:24" s="2" customFormat="1" x14ac:dyDescent="0.3">
      <c r="A64" s="533"/>
      <c r="B64" s="536"/>
      <c r="C64" s="536"/>
      <c r="D64" s="536"/>
      <c r="E64" s="536"/>
      <c r="F64" s="534"/>
      <c r="G64" s="545"/>
      <c r="H64" s="535"/>
      <c r="I64" s="546"/>
      <c r="J64" s="547"/>
      <c r="K64" s="548"/>
      <c r="L64" s="536"/>
      <c r="M64" s="536"/>
      <c r="N64" s="268">
        <v>45044</v>
      </c>
      <c r="O64" s="534"/>
      <c r="P64" s="265">
        <v>11616</v>
      </c>
      <c r="Q64" s="266">
        <v>45061</v>
      </c>
      <c r="R64" s="267"/>
      <c r="S64" s="265"/>
      <c r="T64" s="265"/>
      <c r="U64" s="535"/>
      <c r="V64" s="537"/>
      <c r="W64" s="544"/>
      <c r="X64" s="2">
        <v>25</v>
      </c>
    </row>
    <row r="65" spans="1:24" s="2" customFormat="1" x14ac:dyDescent="0.3">
      <c r="A65" s="533"/>
      <c r="B65" s="536"/>
      <c r="C65" s="536"/>
      <c r="D65" s="536"/>
      <c r="E65" s="536"/>
      <c r="F65" s="534"/>
      <c r="G65" s="545"/>
      <c r="H65" s="535"/>
      <c r="I65" s="546"/>
      <c r="J65" s="547"/>
      <c r="K65" s="548"/>
      <c r="L65" s="536"/>
      <c r="M65" s="536"/>
      <c r="N65" s="268">
        <v>45044</v>
      </c>
      <c r="O65" s="534"/>
      <c r="P65" s="265">
        <v>6230</v>
      </c>
      <c r="Q65" s="266">
        <v>45061</v>
      </c>
      <c r="R65" s="267"/>
      <c r="S65" s="265"/>
      <c r="T65" s="265"/>
      <c r="U65" s="535"/>
      <c r="V65" s="537"/>
      <c r="W65" s="544"/>
      <c r="X65" s="2">
        <v>25</v>
      </c>
    </row>
    <row r="66" spans="1:24" s="2" customFormat="1" x14ac:dyDescent="0.3">
      <c r="A66" s="533"/>
      <c r="B66" s="536"/>
      <c r="C66" s="536"/>
      <c r="D66" s="536"/>
      <c r="E66" s="536"/>
      <c r="F66" s="534"/>
      <c r="G66" s="545"/>
      <c r="H66" s="535"/>
      <c r="I66" s="546"/>
      <c r="J66" s="547"/>
      <c r="K66" s="548"/>
      <c r="L66" s="536"/>
      <c r="M66" s="536"/>
      <c r="N66" s="268">
        <v>45065</v>
      </c>
      <c r="O66" s="534"/>
      <c r="P66" s="265">
        <v>7590</v>
      </c>
      <c r="Q66" s="266">
        <v>45079</v>
      </c>
      <c r="R66" s="267"/>
      <c r="S66" s="265"/>
      <c r="T66" s="265"/>
      <c r="U66" s="535"/>
      <c r="V66" s="537"/>
      <c r="W66" s="544"/>
      <c r="X66" s="2">
        <v>25</v>
      </c>
    </row>
    <row r="67" spans="1:24" s="2" customFormat="1" x14ac:dyDescent="0.3">
      <c r="A67" s="392"/>
      <c r="B67" s="398"/>
      <c r="C67" s="398"/>
      <c r="D67" s="398"/>
      <c r="E67" s="398"/>
      <c r="F67" s="394"/>
      <c r="G67" s="528"/>
      <c r="H67" s="396"/>
      <c r="I67" s="406"/>
      <c r="J67" s="530"/>
      <c r="K67" s="532"/>
      <c r="L67" s="398"/>
      <c r="M67" s="398"/>
      <c r="N67" s="264">
        <v>45065</v>
      </c>
      <c r="O67" s="394"/>
      <c r="P67" s="260">
        <v>4240</v>
      </c>
      <c r="Q67" s="261">
        <v>45079</v>
      </c>
      <c r="R67" s="262"/>
      <c r="S67" s="260"/>
      <c r="T67" s="260"/>
      <c r="U67" s="396"/>
      <c r="V67" s="526"/>
      <c r="W67" s="402"/>
      <c r="X67" s="2">
        <v>25</v>
      </c>
    </row>
    <row r="68" spans="1:24" s="108" customFormat="1" ht="131.25" customHeight="1" x14ac:dyDescent="0.3">
      <c r="A68" s="425">
        <v>9</v>
      </c>
      <c r="B68" s="434" t="s">
        <v>56</v>
      </c>
      <c r="C68" s="434" t="s">
        <v>146</v>
      </c>
      <c r="D68" s="434" t="s">
        <v>147</v>
      </c>
      <c r="E68" s="434" t="s">
        <v>115</v>
      </c>
      <c r="F68" s="428">
        <v>44951</v>
      </c>
      <c r="G68" s="443" t="s">
        <v>200</v>
      </c>
      <c r="H68" s="431">
        <v>4500</v>
      </c>
      <c r="I68" s="446">
        <f>IF(X68 = 26, H68 + SUM(S68:S71) - SUM(T68:T71) - SUM(P68:P71) - V68,0)</f>
        <v>0</v>
      </c>
      <c r="J68" s="563">
        <v>2353020735</v>
      </c>
      <c r="K68" s="565" t="s">
        <v>157</v>
      </c>
      <c r="L68" s="434" t="s">
        <v>146</v>
      </c>
      <c r="M68" s="434"/>
      <c r="N68" s="197">
        <v>44951</v>
      </c>
      <c r="O68" s="428" t="s">
        <v>181</v>
      </c>
      <c r="P68" s="188">
        <v>1250</v>
      </c>
      <c r="Q68" s="189">
        <v>44970</v>
      </c>
      <c r="R68" s="190"/>
      <c r="S68" s="188"/>
      <c r="T68" s="188"/>
      <c r="U68" s="431"/>
      <c r="V68" s="561">
        <v>975</v>
      </c>
      <c r="W68" s="440"/>
      <c r="X68" s="108">
        <v>26</v>
      </c>
    </row>
    <row r="69" spans="1:24" s="2" customFormat="1" x14ac:dyDescent="0.3">
      <c r="A69" s="426"/>
      <c r="B69" s="435"/>
      <c r="C69" s="435"/>
      <c r="D69" s="435"/>
      <c r="E69" s="435"/>
      <c r="F69" s="429"/>
      <c r="G69" s="444"/>
      <c r="H69" s="432"/>
      <c r="I69" s="447"/>
      <c r="J69" s="567"/>
      <c r="K69" s="568"/>
      <c r="L69" s="435"/>
      <c r="M69" s="435"/>
      <c r="N69" s="198">
        <v>44985</v>
      </c>
      <c r="O69" s="429"/>
      <c r="P69" s="191">
        <v>1025</v>
      </c>
      <c r="Q69" s="192">
        <v>44995</v>
      </c>
      <c r="R69" s="193"/>
      <c r="S69" s="191"/>
      <c r="T69" s="191"/>
      <c r="U69" s="432"/>
      <c r="V69" s="576"/>
      <c r="W69" s="441"/>
      <c r="X69" s="2">
        <v>26</v>
      </c>
    </row>
    <row r="70" spans="1:24" s="2" customFormat="1" x14ac:dyDescent="0.3">
      <c r="A70" s="426"/>
      <c r="B70" s="435"/>
      <c r="C70" s="435"/>
      <c r="D70" s="435"/>
      <c r="E70" s="435"/>
      <c r="F70" s="429"/>
      <c r="G70" s="444"/>
      <c r="H70" s="432"/>
      <c r="I70" s="447"/>
      <c r="J70" s="567"/>
      <c r="K70" s="568"/>
      <c r="L70" s="435"/>
      <c r="M70" s="435"/>
      <c r="N70" s="198">
        <v>45009</v>
      </c>
      <c r="O70" s="429"/>
      <c r="P70" s="191">
        <v>1250</v>
      </c>
      <c r="Q70" s="192">
        <v>45016</v>
      </c>
      <c r="R70" s="193"/>
      <c r="S70" s="191"/>
      <c r="T70" s="191"/>
      <c r="U70" s="432"/>
      <c r="V70" s="576"/>
      <c r="W70" s="441"/>
      <c r="X70" s="2">
        <v>26</v>
      </c>
    </row>
    <row r="71" spans="1:24" s="2" customFormat="1" x14ac:dyDescent="0.3">
      <c r="A71" s="427"/>
      <c r="B71" s="436"/>
      <c r="C71" s="436"/>
      <c r="D71" s="436"/>
      <c r="E71" s="436"/>
      <c r="F71" s="430"/>
      <c r="G71" s="445"/>
      <c r="H71" s="433"/>
      <c r="I71" s="448"/>
      <c r="J71" s="564"/>
      <c r="K71" s="566"/>
      <c r="L71" s="436"/>
      <c r="M71" s="436"/>
      <c r="N71" s="199"/>
      <c r="O71" s="430"/>
      <c r="P71" s="194"/>
      <c r="Q71" s="195"/>
      <c r="R71" s="196"/>
      <c r="S71" s="194"/>
      <c r="T71" s="194"/>
      <c r="U71" s="433"/>
      <c r="V71" s="562"/>
      <c r="W71" s="442"/>
      <c r="X71" s="2">
        <v>26</v>
      </c>
    </row>
    <row r="72" spans="1:24" s="108" customFormat="1" ht="131.25" customHeight="1" x14ac:dyDescent="0.3">
      <c r="A72" s="425">
        <v>10</v>
      </c>
      <c r="B72" s="434" t="s">
        <v>56</v>
      </c>
      <c r="C72" s="434" t="s">
        <v>146</v>
      </c>
      <c r="D72" s="434" t="s">
        <v>147</v>
      </c>
      <c r="E72" s="434" t="s">
        <v>116</v>
      </c>
      <c r="F72" s="428">
        <v>44951</v>
      </c>
      <c r="G72" s="443" t="s">
        <v>200</v>
      </c>
      <c r="H72" s="431">
        <v>23879.7</v>
      </c>
      <c r="I72" s="446">
        <f>IF(X72 = 27, H72 + SUM(S72:S74) - SUM(T72:T74) - SUM(P72:P74) - V72,0)</f>
        <v>1.8189894035458565E-12</v>
      </c>
      <c r="J72" s="563">
        <v>2353020735</v>
      </c>
      <c r="K72" s="565" t="s">
        <v>157</v>
      </c>
      <c r="L72" s="434" t="s">
        <v>146</v>
      </c>
      <c r="M72" s="434"/>
      <c r="N72" s="197">
        <v>44957</v>
      </c>
      <c r="O72" s="428" t="s">
        <v>181</v>
      </c>
      <c r="P72" s="188">
        <v>4416.4799999999996</v>
      </c>
      <c r="Q72" s="189">
        <v>44970</v>
      </c>
      <c r="R72" s="190"/>
      <c r="S72" s="188"/>
      <c r="T72" s="188"/>
      <c r="U72" s="431" t="s">
        <v>345</v>
      </c>
      <c r="V72" s="561">
        <v>11392.13</v>
      </c>
      <c r="W72" s="440"/>
      <c r="X72" s="108">
        <v>27</v>
      </c>
    </row>
    <row r="73" spans="1:24" s="2" customFormat="1" x14ac:dyDescent="0.3">
      <c r="A73" s="426"/>
      <c r="B73" s="435"/>
      <c r="C73" s="435"/>
      <c r="D73" s="435"/>
      <c r="E73" s="435"/>
      <c r="F73" s="429"/>
      <c r="G73" s="444"/>
      <c r="H73" s="432"/>
      <c r="I73" s="447"/>
      <c r="J73" s="567"/>
      <c r="K73" s="568"/>
      <c r="L73" s="435"/>
      <c r="M73" s="435"/>
      <c r="N73" s="198">
        <v>44985</v>
      </c>
      <c r="O73" s="429"/>
      <c r="P73" s="191">
        <v>3654.61</v>
      </c>
      <c r="Q73" s="192">
        <v>44995</v>
      </c>
      <c r="R73" s="193"/>
      <c r="S73" s="191"/>
      <c r="T73" s="191"/>
      <c r="U73" s="432"/>
      <c r="V73" s="576"/>
      <c r="W73" s="441"/>
      <c r="X73" s="2">
        <v>27</v>
      </c>
    </row>
    <row r="74" spans="1:24" s="2" customFormat="1" x14ac:dyDescent="0.3">
      <c r="A74" s="427"/>
      <c r="B74" s="436"/>
      <c r="C74" s="436"/>
      <c r="D74" s="436"/>
      <c r="E74" s="436"/>
      <c r="F74" s="430"/>
      <c r="G74" s="445"/>
      <c r="H74" s="433"/>
      <c r="I74" s="448"/>
      <c r="J74" s="564"/>
      <c r="K74" s="566"/>
      <c r="L74" s="436"/>
      <c r="M74" s="436"/>
      <c r="N74" s="199">
        <v>45009</v>
      </c>
      <c r="O74" s="430"/>
      <c r="P74" s="194">
        <v>4416.4799999999996</v>
      </c>
      <c r="Q74" s="195">
        <v>45023</v>
      </c>
      <c r="R74" s="196"/>
      <c r="S74" s="194"/>
      <c r="T74" s="194"/>
      <c r="U74" s="433"/>
      <c r="V74" s="562"/>
      <c r="W74" s="442"/>
      <c r="X74" s="2">
        <v>27</v>
      </c>
    </row>
    <row r="75" spans="1:24" s="108" customFormat="1" ht="131.25" customHeight="1" x14ac:dyDescent="0.3">
      <c r="A75" s="425">
        <v>11</v>
      </c>
      <c r="B75" s="434" t="s">
        <v>56</v>
      </c>
      <c r="C75" s="434" t="s">
        <v>146</v>
      </c>
      <c r="D75" s="434" t="s">
        <v>147</v>
      </c>
      <c r="E75" s="434" t="s">
        <v>117</v>
      </c>
      <c r="F75" s="428">
        <v>44951</v>
      </c>
      <c r="G75" s="443" t="s">
        <v>201</v>
      </c>
      <c r="H75" s="431">
        <v>31500</v>
      </c>
      <c r="I75" s="446">
        <f>IF(X75 = 28, H75 + SUM(S75:S78) - SUM(T75:T78) - SUM(P75:P78) - V75,0)</f>
        <v>0</v>
      </c>
      <c r="J75" s="563">
        <v>2353020735</v>
      </c>
      <c r="K75" s="565" t="s">
        <v>157</v>
      </c>
      <c r="L75" s="434" t="s">
        <v>146</v>
      </c>
      <c r="M75" s="434"/>
      <c r="N75" s="197">
        <v>44957</v>
      </c>
      <c r="O75" s="428" t="s">
        <v>181</v>
      </c>
      <c r="P75" s="188">
        <v>8775</v>
      </c>
      <c r="Q75" s="189">
        <v>44970</v>
      </c>
      <c r="R75" s="190"/>
      <c r="S75" s="188"/>
      <c r="T75" s="188"/>
      <c r="U75" s="431" t="s">
        <v>345</v>
      </c>
      <c r="V75" s="561">
        <v>5150</v>
      </c>
      <c r="W75" s="440"/>
      <c r="X75" s="108">
        <v>28</v>
      </c>
    </row>
    <row r="76" spans="1:24" s="2" customFormat="1" x14ac:dyDescent="0.3">
      <c r="A76" s="426"/>
      <c r="B76" s="435"/>
      <c r="C76" s="435"/>
      <c r="D76" s="435"/>
      <c r="E76" s="435"/>
      <c r="F76" s="429"/>
      <c r="G76" s="444"/>
      <c r="H76" s="432"/>
      <c r="I76" s="447"/>
      <c r="J76" s="567"/>
      <c r="K76" s="568"/>
      <c r="L76" s="435"/>
      <c r="M76" s="435"/>
      <c r="N76" s="198">
        <v>44985</v>
      </c>
      <c r="O76" s="429"/>
      <c r="P76" s="191">
        <v>8950</v>
      </c>
      <c r="Q76" s="192">
        <v>44995</v>
      </c>
      <c r="R76" s="193"/>
      <c r="S76" s="191"/>
      <c r="T76" s="191"/>
      <c r="U76" s="432"/>
      <c r="V76" s="576"/>
      <c r="W76" s="441"/>
      <c r="X76" s="2">
        <v>28</v>
      </c>
    </row>
    <row r="77" spans="1:24" s="2" customFormat="1" x14ac:dyDescent="0.3">
      <c r="A77" s="426"/>
      <c r="B77" s="435"/>
      <c r="C77" s="435"/>
      <c r="D77" s="435"/>
      <c r="E77" s="435"/>
      <c r="F77" s="429"/>
      <c r="G77" s="444"/>
      <c r="H77" s="432"/>
      <c r="I77" s="447"/>
      <c r="J77" s="567"/>
      <c r="K77" s="568"/>
      <c r="L77" s="435"/>
      <c r="M77" s="435"/>
      <c r="N77" s="198">
        <v>45009</v>
      </c>
      <c r="O77" s="429"/>
      <c r="P77" s="191">
        <v>8625</v>
      </c>
      <c r="Q77" s="192">
        <v>45023</v>
      </c>
      <c r="R77" s="193"/>
      <c r="S77" s="191"/>
      <c r="T77" s="191"/>
      <c r="U77" s="432"/>
      <c r="V77" s="576"/>
      <c r="W77" s="441"/>
      <c r="X77" s="2">
        <v>28</v>
      </c>
    </row>
    <row r="78" spans="1:24" s="2" customFormat="1" x14ac:dyDescent="0.3">
      <c r="A78" s="427"/>
      <c r="B78" s="436"/>
      <c r="C78" s="436"/>
      <c r="D78" s="436"/>
      <c r="E78" s="436"/>
      <c r="F78" s="430"/>
      <c r="G78" s="445"/>
      <c r="H78" s="433"/>
      <c r="I78" s="448"/>
      <c r="J78" s="564"/>
      <c r="K78" s="566"/>
      <c r="L78" s="436"/>
      <c r="M78" s="436"/>
      <c r="N78" s="199"/>
      <c r="O78" s="430"/>
      <c r="P78" s="194"/>
      <c r="Q78" s="195"/>
      <c r="R78" s="196"/>
      <c r="S78" s="194"/>
      <c r="T78" s="194"/>
      <c r="U78" s="433"/>
      <c r="V78" s="562"/>
      <c r="W78" s="442"/>
      <c r="X78" s="2">
        <v>28</v>
      </c>
    </row>
    <row r="79" spans="1:24" s="108" customFormat="1" ht="131.25" customHeight="1" x14ac:dyDescent="0.3">
      <c r="A79" s="464">
        <v>12</v>
      </c>
      <c r="B79" s="419" t="s">
        <v>56</v>
      </c>
      <c r="C79" s="419" t="s">
        <v>146</v>
      </c>
      <c r="D79" s="419" t="s">
        <v>147</v>
      </c>
      <c r="E79" s="419" t="s">
        <v>118</v>
      </c>
      <c r="F79" s="479">
        <v>44951</v>
      </c>
      <c r="G79" s="552" t="s">
        <v>202</v>
      </c>
      <c r="H79" s="470">
        <v>176885.1</v>
      </c>
      <c r="I79" s="497">
        <f>IF(X79 = 29, H79 + SUM(S79:S90) - SUM(T79:T90) - SUM(P79:P90) - V79,0)</f>
        <v>0</v>
      </c>
      <c r="J79" s="555">
        <v>2353020735</v>
      </c>
      <c r="K79" s="558" t="s">
        <v>157</v>
      </c>
      <c r="L79" s="419" t="s">
        <v>146</v>
      </c>
      <c r="M79" s="419"/>
      <c r="N79" s="227">
        <v>44957</v>
      </c>
      <c r="O79" s="479" t="s">
        <v>181</v>
      </c>
      <c r="P79" s="218">
        <v>15204.67</v>
      </c>
      <c r="Q79" s="219">
        <v>44970</v>
      </c>
      <c r="R79" s="220"/>
      <c r="S79" s="218"/>
      <c r="T79" s="218"/>
      <c r="U79" s="470" t="s">
        <v>345</v>
      </c>
      <c r="V79" s="549">
        <v>85622.04</v>
      </c>
      <c r="W79" s="494"/>
      <c r="X79" s="108">
        <v>29</v>
      </c>
    </row>
    <row r="80" spans="1:24" s="2" customFormat="1" x14ac:dyDescent="0.3">
      <c r="A80" s="465"/>
      <c r="B80" s="420"/>
      <c r="C80" s="420"/>
      <c r="D80" s="420"/>
      <c r="E80" s="420"/>
      <c r="F80" s="480"/>
      <c r="G80" s="553"/>
      <c r="H80" s="471"/>
      <c r="I80" s="498"/>
      <c r="J80" s="556"/>
      <c r="K80" s="559"/>
      <c r="L80" s="420"/>
      <c r="M80" s="420"/>
      <c r="N80" s="228">
        <v>44957</v>
      </c>
      <c r="O80" s="480"/>
      <c r="P80" s="221">
        <v>12440.18</v>
      </c>
      <c r="Q80" s="222">
        <v>44970</v>
      </c>
      <c r="R80" s="223"/>
      <c r="S80" s="221"/>
      <c r="T80" s="221"/>
      <c r="U80" s="471"/>
      <c r="V80" s="550"/>
      <c r="W80" s="495"/>
      <c r="X80" s="2">
        <v>29</v>
      </c>
    </row>
    <row r="81" spans="1:24" s="2" customFormat="1" x14ac:dyDescent="0.3">
      <c r="A81" s="465"/>
      <c r="B81" s="420"/>
      <c r="C81" s="420"/>
      <c r="D81" s="420"/>
      <c r="E81" s="420"/>
      <c r="F81" s="480"/>
      <c r="G81" s="553"/>
      <c r="H81" s="471"/>
      <c r="I81" s="498"/>
      <c r="J81" s="556"/>
      <c r="K81" s="559"/>
      <c r="L81" s="420"/>
      <c r="M81" s="420"/>
      <c r="N81" s="228">
        <v>44985</v>
      </c>
      <c r="O81" s="480"/>
      <c r="P81" s="221">
        <v>15431.32</v>
      </c>
      <c r="Q81" s="222">
        <v>44995</v>
      </c>
      <c r="R81" s="223"/>
      <c r="S81" s="221"/>
      <c r="T81" s="221"/>
      <c r="U81" s="471"/>
      <c r="V81" s="550"/>
      <c r="W81" s="495"/>
      <c r="X81" s="2">
        <v>29</v>
      </c>
    </row>
    <row r="82" spans="1:24" s="2" customFormat="1" x14ac:dyDescent="0.3">
      <c r="A82" s="465"/>
      <c r="B82" s="420"/>
      <c r="C82" s="420"/>
      <c r="D82" s="420"/>
      <c r="E82" s="420"/>
      <c r="F82" s="480"/>
      <c r="G82" s="553"/>
      <c r="H82" s="471"/>
      <c r="I82" s="498"/>
      <c r="J82" s="556"/>
      <c r="K82" s="559"/>
      <c r="L82" s="420"/>
      <c r="M82" s="420"/>
      <c r="N82" s="228">
        <v>44985</v>
      </c>
      <c r="O82" s="480"/>
      <c r="P82" s="221">
        <v>12625.62</v>
      </c>
      <c r="Q82" s="222">
        <v>44995</v>
      </c>
      <c r="R82" s="223"/>
      <c r="S82" s="221"/>
      <c r="T82" s="221"/>
      <c r="U82" s="471"/>
      <c r="V82" s="550"/>
      <c r="W82" s="495"/>
      <c r="X82" s="2">
        <v>29</v>
      </c>
    </row>
    <row r="83" spans="1:24" s="2" customFormat="1" x14ac:dyDescent="0.3">
      <c r="A83" s="465"/>
      <c r="B83" s="420"/>
      <c r="C83" s="420"/>
      <c r="D83" s="420"/>
      <c r="E83" s="420"/>
      <c r="F83" s="480"/>
      <c r="G83" s="553"/>
      <c r="H83" s="471"/>
      <c r="I83" s="498"/>
      <c r="J83" s="556"/>
      <c r="K83" s="559"/>
      <c r="L83" s="420"/>
      <c r="M83" s="420"/>
      <c r="N83" s="228">
        <v>45009</v>
      </c>
      <c r="O83" s="480"/>
      <c r="P83" s="221">
        <v>14894.04</v>
      </c>
      <c r="Q83" s="222">
        <v>45023</v>
      </c>
      <c r="R83" s="223"/>
      <c r="S83" s="221"/>
      <c r="T83" s="221"/>
      <c r="U83" s="471"/>
      <c r="V83" s="550"/>
      <c r="W83" s="495"/>
      <c r="X83" s="2">
        <v>29</v>
      </c>
    </row>
    <row r="84" spans="1:24" s="2" customFormat="1" x14ac:dyDescent="0.3">
      <c r="A84" s="465"/>
      <c r="B84" s="420"/>
      <c r="C84" s="420"/>
      <c r="D84" s="420"/>
      <c r="E84" s="420"/>
      <c r="F84" s="480"/>
      <c r="G84" s="553"/>
      <c r="H84" s="471"/>
      <c r="I84" s="498"/>
      <c r="J84" s="556"/>
      <c r="K84" s="559"/>
      <c r="L84" s="420"/>
      <c r="M84" s="420"/>
      <c r="N84" s="228">
        <v>45009</v>
      </c>
      <c r="O84" s="480"/>
      <c r="P84" s="221">
        <v>12186.03</v>
      </c>
      <c r="Q84" s="222">
        <v>45023</v>
      </c>
      <c r="R84" s="223"/>
      <c r="S84" s="221"/>
      <c r="T84" s="221"/>
      <c r="U84" s="471"/>
      <c r="V84" s="550"/>
      <c r="W84" s="495"/>
      <c r="X84" s="2">
        <v>29</v>
      </c>
    </row>
    <row r="85" spans="1:24" s="2" customFormat="1" x14ac:dyDescent="0.3">
      <c r="A85" s="465"/>
      <c r="B85" s="420"/>
      <c r="C85" s="420"/>
      <c r="D85" s="420"/>
      <c r="E85" s="420"/>
      <c r="F85" s="480"/>
      <c r="G85" s="553"/>
      <c r="H85" s="471"/>
      <c r="I85" s="498"/>
      <c r="J85" s="556"/>
      <c r="K85" s="559"/>
      <c r="L85" s="420"/>
      <c r="M85" s="420"/>
      <c r="N85" s="228">
        <v>45064</v>
      </c>
      <c r="O85" s="480"/>
      <c r="P85" s="221">
        <v>1531.53</v>
      </c>
      <c r="Q85" s="222">
        <v>45064</v>
      </c>
      <c r="R85" s="223"/>
      <c r="S85" s="221"/>
      <c r="T85" s="221"/>
      <c r="U85" s="471"/>
      <c r="V85" s="550"/>
      <c r="W85" s="495"/>
      <c r="X85" s="2">
        <v>29</v>
      </c>
    </row>
    <row r="86" spans="1:24" s="2" customFormat="1" x14ac:dyDescent="0.3">
      <c r="A86" s="465"/>
      <c r="B86" s="420"/>
      <c r="C86" s="420"/>
      <c r="D86" s="420"/>
      <c r="E86" s="420"/>
      <c r="F86" s="480"/>
      <c r="G86" s="553"/>
      <c r="H86" s="471"/>
      <c r="I86" s="498"/>
      <c r="J86" s="556"/>
      <c r="K86" s="559"/>
      <c r="L86" s="420"/>
      <c r="M86" s="420"/>
      <c r="N86" s="228">
        <v>45064</v>
      </c>
      <c r="O86" s="480"/>
      <c r="P86" s="221">
        <v>1253.07</v>
      </c>
      <c r="Q86" s="222">
        <v>45064</v>
      </c>
      <c r="R86" s="223"/>
      <c r="S86" s="221"/>
      <c r="T86" s="221"/>
      <c r="U86" s="471"/>
      <c r="V86" s="550"/>
      <c r="W86" s="495"/>
      <c r="X86" s="2">
        <v>29</v>
      </c>
    </row>
    <row r="87" spans="1:24" s="2" customFormat="1" x14ac:dyDescent="0.3">
      <c r="A87" s="465"/>
      <c r="B87" s="420"/>
      <c r="C87" s="420"/>
      <c r="D87" s="420"/>
      <c r="E87" s="420"/>
      <c r="F87" s="480"/>
      <c r="G87" s="553"/>
      <c r="H87" s="471"/>
      <c r="I87" s="498"/>
      <c r="J87" s="556"/>
      <c r="K87" s="559"/>
      <c r="L87" s="420"/>
      <c r="M87" s="420"/>
      <c r="N87" s="228">
        <v>45064</v>
      </c>
      <c r="O87" s="480"/>
      <c r="P87" s="221">
        <v>1601.6</v>
      </c>
      <c r="Q87" s="222">
        <v>45064</v>
      </c>
      <c r="R87" s="223"/>
      <c r="S87" s="221"/>
      <c r="T87" s="221"/>
      <c r="U87" s="471"/>
      <c r="V87" s="550"/>
      <c r="W87" s="495"/>
      <c r="X87" s="2">
        <v>29</v>
      </c>
    </row>
    <row r="88" spans="1:24" s="2" customFormat="1" x14ac:dyDescent="0.3">
      <c r="A88" s="465"/>
      <c r="B88" s="420"/>
      <c r="C88" s="420"/>
      <c r="D88" s="420"/>
      <c r="E88" s="420"/>
      <c r="F88" s="480"/>
      <c r="G88" s="553"/>
      <c r="H88" s="471"/>
      <c r="I88" s="498"/>
      <c r="J88" s="556"/>
      <c r="K88" s="559"/>
      <c r="L88" s="420"/>
      <c r="M88" s="420"/>
      <c r="N88" s="228">
        <v>45064</v>
      </c>
      <c r="O88" s="480"/>
      <c r="P88" s="221">
        <v>1310.4000000000001</v>
      </c>
      <c r="Q88" s="222">
        <v>45064</v>
      </c>
      <c r="R88" s="223"/>
      <c r="S88" s="221"/>
      <c r="T88" s="221"/>
      <c r="U88" s="471"/>
      <c r="V88" s="550"/>
      <c r="W88" s="495"/>
      <c r="X88" s="2">
        <v>29</v>
      </c>
    </row>
    <row r="89" spans="1:24" s="2" customFormat="1" x14ac:dyDescent="0.3">
      <c r="A89" s="465"/>
      <c r="B89" s="420"/>
      <c r="C89" s="420"/>
      <c r="D89" s="420"/>
      <c r="E89" s="420"/>
      <c r="F89" s="480"/>
      <c r="G89" s="553"/>
      <c r="H89" s="471"/>
      <c r="I89" s="498"/>
      <c r="J89" s="556"/>
      <c r="K89" s="559"/>
      <c r="L89" s="420"/>
      <c r="M89" s="420"/>
      <c r="N89" s="228">
        <v>45064</v>
      </c>
      <c r="O89" s="480"/>
      <c r="P89" s="221">
        <v>1531.53</v>
      </c>
      <c r="Q89" s="222">
        <v>45064</v>
      </c>
      <c r="R89" s="223"/>
      <c r="S89" s="221"/>
      <c r="T89" s="221"/>
      <c r="U89" s="471"/>
      <c r="V89" s="550"/>
      <c r="W89" s="495"/>
      <c r="X89" s="2">
        <v>29</v>
      </c>
    </row>
    <row r="90" spans="1:24" s="2" customFormat="1" x14ac:dyDescent="0.3">
      <c r="A90" s="466"/>
      <c r="B90" s="421"/>
      <c r="C90" s="421"/>
      <c r="D90" s="421"/>
      <c r="E90" s="421"/>
      <c r="F90" s="481"/>
      <c r="G90" s="554"/>
      <c r="H90" s="472"/>
      <c r="I90" s="499"/>
      <c r="J90" s="557"/>
      <c r="K90" s="560"/>
      <c r="L90" s="421"/>
      <c r="M90" s="421"/>
      <c r="N90" s="229">
        <v>45064</v>
      </c>
      <c r="O90" s="481"/>
      <c r="P90" s="224">
        <v>1253.07</v>
      </c>
      <c r="Q90" s="225">
        <v>45064</v>
      </c>
      <c r="R90" s="226"/>
      <c r="S90" s="224"/>
      <c r="T90" s="224"/>
      <c r="U90" s="472"/>
      <c r="V90" s="551"/>
      <c r="W90" s="496"/>
      <c r="X90" s="2">
        <v>29</v>
      </c>
    </row>
    <row r="91" spans="1:24" s="108" customFormat="1" ht="108" x14ac:dyDescent="0.3">
      <c r="A91" s="124">
        <v>13</v>
      </c>
      <c r="B91" s="125" t="s">
        <v>56</v>
      </c>
      <c r="C91" s="125" t="s">
        <v>146</v>
      </c>
      <c r="D91" s="125" t="s">
        <v>147</v>
      </c>
      <c r="E91" s="125" t="s">
        <v>123</v>
      </c>
      <c r="F91" s="135">
        <v>44984</v>
      </c>
      <c r="G91" s="126" t="s">
        <v>224</v>
      </c>
      <c r="H91" s="127">
        <v>7270</v>
      </c>
      <c r="I91" s="128">
        <f>IF(X91 = 30, H91 + SUM(S91:S91) - SUM(T91:T91) - SUM(P91:P91) - V91,0)</f>
        <v>0</v>
      </c>
      <c r="J91" s="129">
        <v>235002152355</v>
      </c>
      <c r="K91" s="130" t="s">
        <v>225</v>
      </c>
      <c r="L91" s="125" t="s">
        <v>146</v>
      </c>
      <c r="M91" s="125"/>
      <c r="N91" s="135">
        <v>44986</v>
      </c>
      <c r="O91" s="135" t="s">
        <v>181</v>
      </c>
      <c r="P91" s="127">
        <v>7270</v>
      </c>
      <c r="Q91" s="126">
        <v>44986</v>
      </c>
      <c r="R91" s="125"/>
      <c r="S91" s="127"/>
      <c r="T91" s="127"/>
      <c r="U91" s="127"/>
      <c r="V91" s="131"/>
      <c r="W91" s="133"/>
      <c r="X91" s="108">
        <v>30</v>
      </c>
    </row>
    <row r="92" spans="1:24" s="108" customFormat="1" ht="131.25" customHeight="1" x14ac:dyDescent="0.3">
      <c r="A92" s="425">
        <v>14</v>
      </c>
      <c r="B92" s="434" t="s">
        <v>56</v>
      </c>
      <c r="C92" s="434" t="s">
        <v>146</v>
      </c>
      <c r="D92" s="434" t="s">
        <v>147</v>
      </c>
      <c r="E92" s="434" t="s">
        <v>121</v>
      </c>
      <c r="F92" s="428">
        <v>44986</v>
      </c>
      <c r="G92" s="443" t="s">
        <v>234</v>
      </c>
      <c r="H92" s="431">
        <v>171142.39999999999</v>
      </c>
      <c r="I92" s="446">
        <f>IF(X92 = 31, H92 + SUM(S92:S97) - SUM(T92:T97) - SUM(P92:P97) - V92,0)</f>
        <v>-7.2759576141834259E-12</v>
      </c>
      <c r="J92" s="563">
        <v>2353020735</v>
      </c>
      <c r="K92" s="565" t="s">
        <v>157</v>
      </c>
      <c r="L92" s="434" t="s">
        <v>146</v>
      </c>
      <c r="M92" s="434"/>
      <c r="N92" s="197">
        <v>44988</v>
      </c>
      <c r="O92" s="428" t="s">
        <v>235</v>
      </c>
      <c r="P92" s="188">
        <v>24442.46</v>
      </c>
      <c r="Q92" s="189">
        <v>45002</v>
      </c>
      <c r="R92" s="190"/>
      <c r="S92" s="188"/>
      <c r="T92" s="188"/>
      <c r="U92" s="431" t="s">
        <v>345</v>
      </c>
      <c r="V92" s="561">
        <v>26836.21</v>
      </c>
      <c r="W92" s="440"/>
      <c r="X92" s="108">
        <v>31</v>
      </c>
    </row>
    <row r="93" spans="1:24" s="2" customFormat="1" x14ac:dyDescent="0.3">
      <c r="A93" s="426"/>
      <c r="B93" s="435"/>
      <c r="C93" s="435"/>
      <c r="D93" s="435"/>
      <c r="E93" s="435"/>
      <c r="F93" s="429"/>
      <c r="G93" s="444"/>
      <c r="H93" s="432"/>
      <c r="I93" s="447"/>
      <c r="J93" s="567"/>
      <c r="K93" s="568"/>
      <c r="L93" s="435"/>
      <c r="M93" s="435"/>
      <c r="N93" s="198">
        <v>44988</v>
      </c>
      <c r="O93" s="429"/>
      <c r="P93" s="191">
        <v>1560.19</v>
      </c>
      <c r="Q93" s="192">
        <v>45002</v>
      </c>
      <c r="R93" s="193"/>
      <c r="S93" s="191"/>
      <c r="T93" s="191"/>
      <c r="U93" s="432"/>
      <c r="V93" s="576"/>
      <c r="W93" s="441"/>
      <c r="X93" s="2">
        <v>31</v>
      </c>
    </row>
    <row r="94" spans="1:24" s="2" customFormat="1" x14ac:dyDescent="0.3">
      <c r="A94" s="426"/>
      <c r="B94" s="435"/>
      <c r="C94" s="435"/>
      <c r="D94" s="435"/>
      <c r="E94" s="435"/>
      <c r="F94" s="429"/>
      <c r="G94" s="444"/>
      <c r="H94" s="432"/>
      <c r="I94" s="447"/>
      <c r="J94" s="567"/>
      <c r="K94" s="568"/>
      <c r="L94" s="435"/>
      <c r="M94" s="435"/>
      <c r="N94" s="198">
        <v>45002</v>
      </c>
      <c r="O94" s="429"/>
      <c r="P94" s="191">
        <v>67674.67</v>
      </c>
      <c r="Q94" s="192">
        <v>45007</v>
      </c>
      <c r="R94" s="193"/>
      <c r="S94" s="191"/>
      <c r="T94" s="191"/>
      <c r="U94" s="432"/>
      <c r="V94" s="576"/>
      <c r="W94" s="441"/>
      <c r="X94" s="2">
        <v>31</v>
      </c>
    </row>
    <row r="95" spans="1:24" s="2" customFormat="1" x14ac:dyDescent="0.3">
      <c r="A95" s="426"/>
      <c r="B95" s="435"/>
      <c r="C95" s="435"/>
      <c r="D95" s="435"/>
      <c r="E95" s="435"/>
      <c r="F95" s="429"/>
      <c r="G95" s="444"/>
      <c r="H95" s="432"/>
      <c r="I95" s="447"/>
      <c r="J95" s="567"/>
      <c r="K95" s="568"/>
      <c r="L95" s="435"/>
      <c r="M95" s="435"/>
      <c r="N95" s="198">
        <v>45002</v>
      </c>
      <c r="O95" s="429"/>
      <c r="P95" s="191">
        <v>4319.75</v>
      </c>
      <c r="Q95" s="192">
        <v>45007</v>
      </c>
      <c r="R95" s="193"/>
      <c r="S95" s="191"/>
      <c r="T95" s="191"/>
      <c r="U95" s="432"/>
      <c r="V95" s="576"/>
      <c r="W95" s="441"/>
      <c r="X95" s="2">
        <v>31</v>
      </c>
    </row>
    <row r="96" spans="1:24" s="2" customFormat="1" x14ac:dyDescent="0.3">
      <c r="A96" s="426"/>
      <c r="B96" s="435"/>
      <c r="C96" s="435"/>
      <c r="D96" s="435"/>
      <c r="E96" s="435"/>
      <c r="F96" s="429"/>
      <c r="G96" s="444"/>
      <c r="H96" s="432"/>
      <c r="I96" s="447"/>
      <c r="J96" s="567"/>
      <c r="K96" s="568"/>
      <c r="L96" s="435"/>
      <c r="M96" s="435"/>
      <c r="N96" s="198">
        <v>45009</v>
      </c>
      <c r="O96" s="429"/>
      <c r="P96" s="191">
        <v>43530.52</v>
      </c>
      <c r="Q96" s="192">
        <v>45026</v>
      </c>
      <c r="R96" s="193"/>
      <c r="S96" s="191"/>
      <c r="T96" s="191"/>
      <c r="U96" s="432"/>
      <c r="V96" s="576"/>
      <c r="W96" s="441"/>
      <c r="X96" s="2">
        <v>31</v>
      </c>
    </row>
    <row r="97" spans="1:24" s="2" customFormat="1" x14ac:dyDescent="0.3">
      <c r="A97" s="427"/>
      <c r="B97" s="436"/>
      <c r="C97" s="436"/>
      <c r="D97" s="436"/>
      <c r="E97" s="436"/>
      <c r="F97" s="430"/>
      <c r="G97" s="445"/>
      <c r="H97" s="433"/>
      <c r="I97" s="448"/>
      <c r="J97" s="564"/>
      <c r="K97" s="566"/>
      <c r="L97" s="436"/>
      <c r="M97" s="436"/>
      <c r="N97" s="199">
        <v>45009</v>
      </c>
      <c r="O97" s="430"/>
      <c r="P97" s="194">
        <v>2778.6</v>
      </c>
      <c r="Q97" s="195">
        <v>45026</v>
      </c>
      <c r="R97" s="196"/>
      <c r="S97" s="194"/>
      <c r="T97" s="194"/>
      <c r="U97" s="433"/>
      <c r="V97" s="562"/>
      <c r="W97" s="442"/>
      <c r="X97" s="2">
        <v>31</v>
      </c>
    </row>
    <row r="98" spans="1:24" s="108" customFormat="1" ht="131.25" customHeight="1" x14ac:dyDescent="0.3">
      <c r="A98" s="500">
        <v>15</v>
      </c>
      <c r="B98" s="506" t="s">
        <v>56</v>
      </c>
      <c r="C98" s="506" t="s">
        <v>146</v>
      </c>
      <c r="D98" s="506" t="s">
        <v>147</v>
      </c>
      <c r="E98" s="506" t="s">
        <v>122</v>
      </c>
      <c r="F98" s="502">
        <v>44986</v>
      </c>
      <c r="G98" s="611" t="s">
        <v>236</v>
      </c>
      <c r="H98" s="504">
        <v>55250</v>
      </c>
      <c r="I98" s="514">
        <f>IF(X98 = 32, H98 + SUM(S98:S100) - SUM(T98:T100) - SUM(P98:P100) - V98,0)</f>
        <v>0</v>
      </c>
      <c r="J98" s="570">
        <v>2353020735</v>
      </c>
      <c r="K98" s="573" t="s">
        <v>157</v>
      </c>
      <c r="L98" s="506" t="s">
        <v>146</v>
      </c>
      <c r="M98" s="506"/>
      <c r="N98" s="163">
        <v>44988</v>
      </c>
      <c r="O98" s="502" t="s">
        <v>235</v>
      </c>
      <c r="P98" s="164">
        <v>8625</v>
      </c>
      <c r="Q98" s="165">
        <v>44995</v>
      </c>
      <c r="R98" s="166"/>
      <c r="S98" s="164"/>
      <c r="T98" s="164"/>
      <c r="U98" s="504" t="s">
        <v>345</v>
      </c>
      <c r="V98" s="608">
        <v>6025</v>
      </c>
      <c r="W98" s="510"/>
      <c r="X98" s="108">
        <v>32</v>
      </c>
    </row>
    <row r="99" spans="1:24" s="2" customFormat="1" x14ac:dyDescent="0.3">
      <c r="A99" s="605"/>
      <c r="B99" s="604"/>
      <c r="C99" s="604"/>
      <c r="D99" s="604"/>
      <c r="E99" s="604"/>
      <c r="F99" s="606"/>
      <c r="G99" s="612"/>
      <c r="H99" s="607"/>
      <c r="I99" s="569"/>
      <c r="J99" s="571"/>
      <c r="K99" s="574"/>
      <c r="L99" s="604"/>
      <c r="M99" s="604"/>
      <c r="N99" s="171">
        <v>45002</v>
      </c>
      <c r="O99" s="606"/>
      <c r="P99" s="172">
        <v>25650</v>
      </c>
      <c r="Q99" s="173">
        <v>45007</v>
      </c>
      <c r="R99" s="174"/>
      <c r="S99" s="172"/>
      <c r="T99" s="172"/>
      <c r="U99" s="607"/>
      <c r="V99" s="609"/>
      <c r="W99" s="603"/>
      <c r="X99" s="2">
        <v>32</v>
      </c>
    </row>
    <row r="100" spans="1:24" s="2" customFormat="1" x14ac:dyDescent="0.3">
      <c r="A100" s="501"/>
      <c r="B100" s="507"/>
      <c r="C100" s="507"/>
      <c r="D100" s="507"/>
      <c r="E100" s="507"/>
      <c r="F100" s="503"/>
      <c r="G100" s="613"/>
      <c r="H100" s="505"/>
      <c r="I100" s="515"/>
      <c r="J100" s="572"/>
      <c r="K100" s="575"/>
      <c r="L100" s="507"/>
      <c r="M100" s="507"/>
      <c r="N100" s="167">
        <v>45009</v>
      </c>
      <c r="O100" s="503"/>
      <c r="P100" s="168">
        <v>14950</v>
      </c>
      <c r="Q100" s="169">
        <v>45016</v>
      </c>
      <c r="R100" s="170"/>
      <c r="S100" s="168"/>
      <c r="T100" s="168"/>
      <c r="U100" s="505"/>
      <c r="V100" s="610"/>
      <c r="W100" s="511"/>
      <c r="X100" s="2">
        <v>32</v>
      </c>
    </row>
    <row r="101" spans="1:24" s="108" customFormat="1" ht="131.25" customHeight="1" x14ac:dyDescent="0.3">
      <c r="A101" s="500">
        <v>16</v>
      </c>
      <c r="B101" s="506" t="s">
        <v>56</v>
      </c>
      <c r="C101" s="506" t="s">
        <v>146</v>
      </c>
      <c r="D101" s="506" t="s">
        <v>147</v>
      </c>
      <c r="E101" s="506" t="s">
        <v>119</v>
      </c>
      <c r="F101" s="502">
        <v>44991</v>
      </c>
      <c r="G101" s="611" t="s">
        <v>237</v>
      </c>
      <c r="H101" s="504">
        <v>2600</v>
      </c>
      <c r="I101" s="514">
        <f>IF(X101 = 33, H101 + SUM(S101:S103) - SUM(T101:T103) - SUM(P101:P103) - V101,0)</f>
        <v>0</v>
      </c>
      <c r="J101" s="570">
        <v>2353020735</v>
      </c>
      <c r="K101" s="573" t="s">
        <v>157</v>
      </c>
      <c r="L101" s="506" t="s">
        <v>146</v>
      </c>
      <c r="M101" s="506"/>
      <c r="N101" s="163">
        <v>44985</v>
      </c>
      <c r="O101" s="502" t="s">
        <v>235</v>
      </c>
      <c r="P101" s="164">
        <v>575</v>
      </c>
      <c r="Q101" s="165">
        <v>44995</v>
      </c>
      <c r="R101" s="166"/>
      <c r="S101" s="164"/>
      <c r="T101" s="164"/>
      <c r="U101" s="504" t="s">
        <v>345</v>
      </c>
      <c r="V101" s="608">
        <v>600</v>
      </c>
      <c r="W101" s="510"/>
      <c r="X101" s="108">
        <v>33</v>
      </c>
    </row>
    <row r="102" spans="1:24" s="2" customFormat="1" x14ac:dyDescent="0.3">
      <c r="A102" s="605"/>
      <c r="B102" s="604"/>
      <c r="C102" s="604"/>
      <c r="D102" s="604"/>
      <c r="E102" s="604"/>
      <c r="F102" s="606"/>
      <c r="G102" s="612"/>
      <c r="H102" s="607"/>
      <c r="I102" s="569"/>
      <c r="J102" s="571"/>
      <c r="K102" s="574"/>
      <c r="L102" s="604"/>
      <c r="M102" s="604"/>
      <c r="N102" s="171">
        <v>44985</v>
      </c>
      <c r="O102" s="606"/>
      <c r="P102" s="172">
        <v>825</v>
      </c>
      <c r="Q102" s="173">
        <v>44999</v>
      </c>
      <c r="R102" s="174"/>
      <c r="S102" s="172"/>
      <c r="T102" s="172"/>
      <c r="U102" s="607"/>
      <c r="V102" s="609"/>
      <c r="W102" s="603"/>
      <c r="X102" s="2">
        <v>33</v>
      </c>
    </row>
    <row r="103" spans="1:24" s="2" customFormat="1" x14ac:dyDescent="0.3">
      <c r="A103" s="501"/>
      <c r="B103" s="507"/>
      <c r="C103" s="507"/>
      <c r="D103" s="507"/>
      <c r="E103" s="507"/>
      <c r="F103" s="503"/>
      <c r="G103" s="613"/>
      <c r="H103" s="505"/>
      <c r="I103" s="515"/>
      <c r="J103" s="572"/>
      <c r="K103" s="575"/>
      <c r="L103" s="507"/>
      <c r="M103" s="507"/>
      <c r="N103" s="167">
        <v>45009</v>
      </c>
      <c r="O103" s="503"/>
      <c r="P103" s="168">
        <v>600</v>
      </c>
      <c r="Q103" s="169">
        <v>45016</v>
      </c>
      <c r="R103" s="170"/>
      <c r="S103" s="168"/>
      <c r="T103" s="168"/>
      <c r="U103" s="505"/>
      <c r="V103" s="610"/>
      <c r="W103" s="511"/>
      <c r="X103" s="2">
        <v>33</v>
      </c>
    </row>
    <row r="104" spans="1:24" s="108" customFormat="1" ht="131.25" customHeight="1" x14ac:dyDescent="0.3">
      <c r="A104" s="425">
        <v>17</v>
      </c>
      <c r="B104" s="434" t="s">
        <v>56</v>
      </c>
      <c r="C104" s="434" t="s">
        <v>146</v>
      </c>
      <c r="D104" s="434" t="s">
        <v>147</v>
      </c>
      <c r="E104" s="434" t="s">
        <v>120</v>
      </c>
      <c r="F104" s="428">
        <v>44991</v>
      </c>
      <c r="G104" s="443" t="s">
        <v>237</v>
      </c>
      <c r="H104" s="431">
        <v>7895.68</v>
      </c>
      <c r="I104" s="446">
        <f>IF(X104 = 34, H104 + SUM(S104:S106) - SUM(T104:T106) - SUM(P104:P106) - V104,0)</f>
        <v>0</v>
      </c>
      <c r="J104" s="563">
        <v>2353020735</v>
      </c>
      <c r="K104" s="565" t="s">
        <v>157</v>
      </c>
      <c r="L104" s="434" t="s">
        <v>146</v>
      </c>
      <c r="M104" s="434"/>
      <c r="N104" s="197">
        <v>44985</v>
      </c>
      <c r="O104" s="428" t="s">
        <v>235</v>
      </c>
      <c r="P104" s="188">
        <v>1746.16</v>
      </c>
      <c r="Q104" s="189">
        <v>45002</v>
      </c>
      <c r="R104" s="190"/>
      <c r="S104" s="188"/>
      <c r="T104" s="188"/>
      <c r="U104" s="431" t="s">
        <v>345</v>
      </c>
      <c r="V104" s="561">
        <v>1822.08</v>
      </c>
      <c r="W104" s="440"/>
      <c r="X104" s="108">
        <v>34</v>
      </c>
    </row>
    <row r="105" spans="1:24" s="2" customFormat="1" x14ac:dyDescent="0.3">
      <c r="A105" s="426"/>
      <c r="B105" s="435"/>
      <c r="C105" s="435"/>
      <c r="D105" s="435"/>
      <c r="E105" s="435"/>
      <c r="F105" s="429"/>
      <c r="G105" s="444"/>
      <c r="H105" s="432"/>
      <c r="I105" s="447"/>
      <c r="J105" s="567"/>
      <c r="K105" s="568"/>
      <c r="L105" s="435"/>
      <c r="M105" s="435"/>
      <c r="N105" s="198">
        <v>44985</v>
      </c>
      <c r="O105" s="429"/>
      <c r="P105" s="191">
        <v>2505.36</v>
      </c>
      <c r="Q105" s="192">
        <v>45005</v>
      </c>
      <c r="R105" s="193"/>
      <c r="S105" s="191"/>
      <c r="T105" s="191"/>
      <c r="U105" s="432"/>
      <c r="V105" s="576"/>
      <c r="W105" s="441"/>
      <c r="X105" s="2">
        <v>34</v>
      </c>
    </row>
    <row r="106" spans="1:24" s="2" customFormat="1" x14ac:dyDescent="0.3">
      <c r="A106" s="427"/>
      <c r="B106" s="436"/>
      <c r="C106" s="436"/>
      <c r="D106" s="436"/>
      <c r="E106" s="436"/>
      <c r="F106" s="430"/>
      <c r="G106" s="445"/>
      <c r="H106" s="433"/>
      <c r="I106" s="448"/>
      <c r="J106" s="564"/>
      <c r="K106" s="566"/>
      <c r="L106" s="436"/>
      <c r="M106" s="436"/>
      <c r="N106" s="199">
        <v>45009</v>
      </c>
      <c r="O106" s="430"/>
      <c r="P106" s="194">
        <v>1822.08</v>
      </c>
      <c r="Q106" s="195">
        <v>45023</v>
      </c>
      <c r="R106" s="196"/>
      <c r="S106" s="194"/>
      <c r="T106" s="194"/>
      <c r="U106" s="433"/>
      <c r="V106" s="562"/>
      <c r="W106" s="442"/>
      <c r="X106" s="2">
        <v>34</v>
      </c>
    </row>
    <row r="107" spans="1:24" s="108" customFormat="1" ht="108" x14ac:dyDescent="0.3">
      <c r="A107" s="151">
        <v>18</v>
      </c>
      <c r="B107" s="152" t="s">
        <v>56</v>
      </c>
      <c r="C107" s="152" t="s">
        <v>146</v>
      </c>
      <c r="D107" s="152" t="s">
        <v>147</v>
      </c>
      <c r="E107" s="152" t="s">
        <v>247</v>
      </c>
      <c r="F107" s="162">
        <v>45005</v>
      </c>
      <c r="G107" s="153" t="s">
        <v>248</v>
      </c>
      <c r="H107" s="154">
        <v>13125</v>
      </c>
      <c r="I107" s="155">
        <f>IF(X107 = 35, H107 + SUM(S107:S107) - SUM(T107:T107) - SUM(P107:P107) - V107,0)</f>
        <v>0</v>
      </c>
      <c r="J107" s="158">
        <v>235002152355</v>
      </c>
      <c r="K107" s="159" t="s">
        <v>225</v>
      </c>
      <c r="L107" s="152" t="s">
        <v>146</v>
      </c>
      <c r="M107" s="152"/>
      <c r="N107" s="162">
        <v>45005</v>
      </c>
      <c r="O107" s="162" t="s">
        <v>235</v>
      </c>
      <c r="P107" s="154">
        <v>13125</v>
      </c>
      <c r="Q107" s="153">
        <v>45006</v>
      </c>
      <c r="R107" s="152"/>
      <c r="S107" s="154"/>
      <c r="T107" s="154"/>
      <c r="U107" s="154"/>
      <c r="V107" s="160"/>
      <c r="W107" s="157"/>
      <c r="X107" s="108">
        <v>35</v>
      </c>
    </row>
    <row r="108" spans="1:24" s="108" customFormat="1" ht="108" x14ac:dyDescent="0.3">
      <c r="A108" s="151">
        <v>19</v>
      </c>
      <c r="B108" s="152" t="s">
        <v>56</v>
      </c>
      <c r="C108" s="152" t="s">
        <v>146</v>
      </c>
      <c r="D108" s="152" t="s">
        <v>147</v>
      </c>
      <c r="E108" s="152" t="s">
        <v>126</v>
      </c>
      <c r="F108" s="162">
        <v>45001</v>
      </c>
      <c r="G108" s="153" t="s">
        <v>249</v>
      </c>
      <c r="H108" s="154">
        <v>4760</v>
      </c>
      <c r="I108" s="155">
        <f>IF(X108 = 36, H108 + SUM(S108:S108) - SUM(T108:T108) - SUM(P108:P108) - V108,0)</f>
        <v>0</v>
      </c>
      <c r="J108" s="158">
        <v>235002152355</v>
      </c>
      <c r="K108" s="159" t="s">
        <v>225</v>
      </c>
      <c r="L108" s="152" t="s">
        <v>146</v>
      </c>
      <c r="M108" s="152"/>
      <c r="N108" s="162">
        <v>45001</v>
      </c>
      <c r="O108" s="162" t="s">
        <v>235</v>
      </c>
      <c r="P108" s="154">
        <v>4760</v>
      </c>
      <c r="Q108" s="153">
        <v>45002</v>
      </c>
      <c r="R108" s="152"/>
      <c r="S108" s="154"/>
      <c r="T108" s="154"/>
      <c r="U108" s="154"/>
      <c r="V108" s="160"/>
      <c r="W108" s="157"/>
      <c r="X108" s="108">
        <v>36</v>
      </c>
    </row>
    <row r="109" spans="1:24" s="108" customFormat="1" ht="131.25" customHeight="1" x14ac:dyDescent="0.3">
      <c r="A109" s="425">
        <v>20</v>
      </c>
      <c r="B109" s="434" t="s">
        <v>56</v>
      </c>
      <c r="C109" s="434" t="s">
        <v>146</v>
      </c>
      <c r="D109" s="434" t="s">
        <v>147</v>
      </c>
      <c r="E109" s="434" t="s">
        <v>128</v>
      </c>
      <c r="F109" s="428">
        <v>45016</v>
      </c>
      <c r="G109" s="443" t="s">
        <v>265</v>
      </c>
      <c r="H109" s="431">
        <v>46464</v>
      </c>
      <c r="I109" s="446">
        <f>IF(X109 = 38, H109 + SUM(S109:S110) - SUM(T109:T110) - SUM(P109:P110) - V109,0)</f>
        <v>0</v>
      </c>
      <c r="J109" s="563">
        <v>2353020735</v>
      </c>
      <c r="K109" s="565" t="s">
        <v>157</v>
      </c>
      <c r="L109" s="434" t="s">
        <v>146</v>
      </c>
      <c r="M109" s="434"/>
      <c r="N109" s="197">
        <v>45023</v>
      </c>
      <c r="O109" s="428" t="s">
        <v>235</v>
      </c>
      <c r="P109" s="188">
        <v>43676.11</v>
      </c>
      <c r="Q109" s="189">
        <v>45033</v>
      </c>
      <c r="R109" s="190"/>
      <c r="S109" s="188"/>
      <c r="T109" s="188"/>
      <c r="U109" s="431"/>
      <c r="V109" s="561"/>
      <c r="W109" s="440"/>
      <c r="X109" s="108">
        <v>38</v>
      </c>
    </row>
    <row r="110" spans="1:24" s="2" customFormat="1" x14ac:dyDescent="0.3">
      <c r="A110" s="427"/>
      <c r="B110" s="436"/>
      <c r="C110" s="436"/>
      <c r="D110" s="436"/>
      <c r="E110" s="436"/>
      <c r="F110" s="430"/>
      <c r="G110" s="445"/>
      <c r="H110" s="433"/>
      <c r="I110" s="448"/>
      <c r="J110" s="564"/>
      <c r="K110" s="566"/>
      <c r="L110" s="436"/>
      <c r="M110" s="436"/>
      <c r="N110" s="199">
        <v>45023</v>
      </c>
      <c r="O110" s="430"/>
      <c r="P110" s="194">
        <v>2787.89</v>
      </c>
      <c r="Q110" s="195">
        <v>45033</v>
      </c>
      <c r="R110" s="196"/>
      <c r="S110" s="194"/>
      <c r="T110" s="194"/>
      <c r="U110" s="433"/>
      <c r="V110" s="562"/>
      <c r="W110" s="442"/>
      <c r="X110" s="2">
        <v>38</v>
      </c>
    </row>
    <row r="111" spans="1:24" s="108" customFormat="1" ht="108" x14ac:dyDescent="0.3">
      <c r="A111" s="177">
        <v>21</v>
      </c>
      <c r="B111" s="178" t="s">
        <v>56</v>
      </c>
      <c r="C111" s="178" t="s">
        <v>146</v>
      </c>
      <c r="D111" s="178" t="s">
        <v>147</v>
      </c>
      <c r="E111" s="178" t="s">
        <v>129</v>
      </c>
      <c r="F111" s="184">
        <v>45016</v>
      </c>
      <c r="G111" s="182" t="s">
        <v>265</v>
      </c>
      <c r="H111" s="180">
        <v>15000</v>
      </c>
      <c r="I111" s="181">
        <f>IF(X111 = 39, H111 + SUM(S111:S111) - SUM(T111:T111) - SUM(P111:P111) - V111,0)</f>
        <v>0</v>
      </c>
      <c r="J111" s="185">
        <v>2353020735</v>
      </c>
      <c r="K111" s="186" t="s">
        <v>157</v>
      </c>
      <c r="L111" s="178" t="s">
        <v>146</v>
      </c>
      <c r="M111" s="178"/>
      <c r="N111" s="184">
        <v>45023</v>
      </c>
      <c r="O111" s="184" t="s">
        <v>235</v>
      </c>
      <c r="P111" s="180">
        <v>15000</v>
      </c>
      <c r="Q111" s="182">
        <v>45033</v>
      </c>
      <c r="R111" s="178"/>
      <c r="S111" s="180"/>
      <c r="T111" s="180"/>
      <c r="U111" s="180"/>
      <c r="V111" s="187"/>
      <c r="W111" s="175"/>
      <c r="X111" s="108">
        <v>39</v>
      </c>
    </row>
    <row r="112" spans="1:24" s="108" customFormat="1" ht="108" x14ac:dyDescent="0.3">
      <c r="A112" s="177">
        <v>22</v>
      </c>
      <c r="B112" s="178" t="s">
        <v>56</v>
      </c>
      <c r="C112" s="178" t="s">
        <v>146</v>
      </c>
      <c r="D112" s="178" t="s">
        <v>147</v>
      </c>
      <c r="E112" s="178" t="s">
        <v>274</v>
      </c>
      <c r="F112" s="184">
        <v>45021</v>
      </c>
      <c r="G112" s="182" t="s">
        <v>224</v>
      </c>
      <c r="H112" s="180">
        <v>5700</v>
      </c>
      <c r="I112" s="181">
        <f>IF(X112 = 40, H112 + SUM(S112:S112) - SUM(T112:T112) - SUM(P112:P112) - V112,0)</f>
        <v>0</v>
      </c>
      <c r="J112" s="185">
        <v>235002152355</v>
      </c>
      <c r="K112" s="186" t="s">
        <v>225</v>
      </c>
      <c r="L112" s="178" t="s">
        <v>146</v>
      </c>
      <c r="M112" s="178"/>
      <c r="N112" s="184"/>
      <c r="O112" s="184" t="s">
        <v>181</v>
      </c>
      <c r="P112" s="180">
        <v>5700</v>
      </c>
      <c r="Q112" s="182">
        <v>45023</v>
      </c>
      <c r="R112" s="178"/>
      <c r="S112" s="180"/>
      <c r="T112" s="180"/>
      <c r="U112" s="180"/>
      <c r="V112" s="187"/>
      <c r="W112" s="175"/>
      <c r="X112" s="108">
        <v>40</v>
      </c>
    </row>
    <row r="113" spans="1:24" s="108" customFormat="1" ht="108" x14ac:dyDescent="0.3">
      <c r="A113" s="177">
        <v>23</v>
      </c>
      <c r="B113" s="178" t="s">
        <v>56</v>
      </c>
      <c r="C113" s="178" t="s">
        <v>146</v>
      </c>
      <c r="D113" s="178" t="s">
        <v>147</v>
      </c>
      <c r="E113" s="178" t="s">
        <v>275</v>
      </c>
      <c r="F113" s="184">
        <v>45022</v>
      </c>
      <c r="G113" s="182" t="s">
        <v>276</v>
      </c>
      <c r="H113" s="180">
        <v>169662.35</v>
      </c>
      <c r="I113" s="181">
        <f>IF(X113 = 41, H113 + SUM(S113:S113) - SUM(T113:T113) - SUM(P113:P113) - V113,0)</f>
        <v>0</v>
      </c>
      <c r="J113" s="185">
        <v>7715995942</v>
      </c>
      <c r="K113" s="186" t="s">
        <v>277</v>
      </c>
      <c r="L113" s="178" t="s">
        <v>146</v>
      </c>
      <c r="M113" s="178"/>
      <c r="N113" s="184">
        <v>45068</v>
      </c>
      <c r="O113" s="184" t="s">
        <v>235</v>
      </c>
      <c r="P113" s="180">
        <v>169662.35</v>
      </c>
      <c r="Q113" s="182">
        <v>45090</v>
      </c>
      <c r="R113" s="178"/>
      <c r="S113" s="180"/>
      <c r="T113" s="180"/>
      <c r="U113" s="180"/>
      <c r="V113" s="187"/>
      <c r="W113" s="175"/>
      <c r="X113" s="108">
        <v>41</v>
      </c>
    </row>
    <row r="114" spans="1:24" s="108" customFormat="1" ht="108" x14ac:dyDescent="0.3">
      <c r="A114" s="177">
        <v>24</v>
      </c>
      <c r="B114" s="178" t="s">
        <v>56</v>
      </c>
      <c r="C114" s="178" t="s">
        <v>146</v>
      </c>
      <c r="D114" s="178" t="s">
        <v>147</v>
      </c>
      <c r="E114" s="178" t="s">
        <v>290</v>
      </c>
      <c r="F114" s="184">
        <v>45034</v>
      </c>
      <c r="G114" s="182" t="s">
        <v>291</v>
      </c>
      <c r="H114" s="180">
        <v>2000</v>
      </c>
      <c r="I114" s="181">
        <f>IF(X114 = 42, H114 + SUM(S114:S114) - SUM(T114:T114) - SUM(P114:P114) - V114,0)</f>
        <v>0</v>
      </c>
      <c r="J114" s="185">
        <v>235305769122</v>
      </c>
      <c r="K114" s="186" t="s">
        <v>168</v>
      </c>
      <c r="L114" s="178" t="s">
        <v>146</v>
      </c>
      <c r="M114" s="178"/>
      <c r="N114" s="184"/>
      <c r="O114" s="184" t="s">
        <v>235</v>
      </c>
      <c r="P114" s="180">
        <v>2000</v>
      </c>
      <c r="Q114" s="182">
        <v>45044</v>
      </c>
      <c r="R114" s="178"/>
      <c r="S114" s="180"/>
      <c r="T114" s="180"/>
      <c r="U114" s="180"/>
      <c r="V114" s="187"/>
      <c r="W114" s="175"/>
      <c r="X114" s="108">
        <v>42</v>
      </c>
    </row>
    <row r="115" spans="1:24" s="108" customFormat="1" ht="131.25" customHeight="1" x14ac:dyDescent="0.3">
      <c r="A115" s="379">
        <v>25</v>
      </c>
      <c r="B115" s="364" t="s">
        <v>56</v>
      </c>
      <c r="C115" s="364" t="s">
        <v>179</v>
      </c>
      <c r="D115" s="364" t="s">
        <v>147</v>
      </c>
      <c r="E115" s="364" t="s">
        <v>292</v>
      </c>
      <c r="F115" s="370">
        <v>45016</v>
      </c>
      <c r="G115" s="386" t="s">
        <v>293</v>
      </c>
      <c r="H115" s="373">
        <v>376000</v>
      </c>
      <c r="I115" s="376">
        <f>IF(X115 = 43, H115 + SUM(S115:S117) - SUM(T115:T117) - SUM(P115:P117) - V115,0)</f>
        <v>154160</v>
      </c>
      <c r="J115" s="519">
        <v>2312296269</v>
      </c>
      <c r="K115" s="522" t="s">
        <v>294</v>
      </c>
      <c r="L115" s="364" t="s">
        <v>146</v>
      </c>
      <c r="M115" s="364"/>
      <c r="N115" s="302">
        <v>45046</v>
      </c>
      <c r="O115" s="370" t="s">
        <v>181</v>
      </c>
      <c r="P115" s="293">
        <v>90240</v>
      </c>
      <c r="Q115" s="294">
        <v>45061</v>
      </c>
      <c r="R115" s="295"/>
      <c r="S115" s="293"/>
      <c r="T115" s="293"/>
      <c r="U115" s="373"/>
      <c r="V115" s="516"/>
      <c r="W115" s="383"/>
      <c r="X115" s="108">
        <v>43</v>
      </c>
    </row>
    <row r="116" spans="1:24" s="2" customFormat="1" x14ac:dyDescent="0.3">
      <c r="A116" s="389"/>
      <c r="B116" s="365"/>
      <c r="C116" s="365"/>
      <c r="D116" s="365"/>
      <c r="E116" s="365"/>
      <c r="F116" s="371"/>
      <c r="G116" s="387"/>
      <c r="H116" s="374"/>
      <c r="I116" s="377"/>
      <c r="J116" s="520"/>
      <c r="K116" s="523"/>
      <c r="L116" s="365"/>
      <c r="M116" s="365"/>
      <c r="N116" s="303">
        <v>45077</v>
      </c>
      <c r="O116" s="371"/>
      <c r="P116" s="296">
        <v>81780</v>
      </c>
      <c r="Q116" s="297">
        <v>45086</v>
      </c>
      <c r="R116" s="298"/>
      <c r="S116" s="296"/>
      <c r="T116" s="296"/>
      <c r="U116" s="374"/>
      <c r="V116" s="517"/>
      <c r="W116" s="385"/>
      <c r="X116" s="2">
        <v>43</v>
      </c>
    </row>
    <row r="117" spans="1:24" s="2" customFormat="1" x14ac:dyDescent="0.3">
      <c r="A117" s="380"/>
      <c r="B117" s="366"/>
      <c r="C117" s="366"/>
      <c r="D117" s="366"/>
      <c r="E117" s="366"/>
      <c r="F117" s="372"/>
      <c r="G117" s="388"/>
      <c r="H117" s="375"/>
      <c r="I117" s="378"/>
      <c r="J117" s="521"/>
      <c r="K117" s="524"/>
      <c r="L117" s="366"/>
      <c r="M117" s="366"/>
      <c r="N117" s="304">
        <v>45107</v>
      </c>
      <c r="O117" s="372"/>
      <c r="P117" s="299">
        <v>49820</v>
      </c>
      <c r="Q117" s="300">
        <v>45112</v>
      </c>
      <c r="R117" s="301"/>
      <c r="S117" s="299"/>
      <c r="T117" s="299"/>
      <c r="U117" s="375"/>
      <c r="V117" s="518"/>
      <c r="W117" s="384"/>
      <c r="X117" s="2">
        <v>43</v>
      </c>
    </row>
    <row r="118" spans="1:24" s="108" customFormat="1" ht="108" x14ac:dyDescent="0.3">
      <c r="A118" s="177">
        <v>26</v>
      </c>
      <c r="B118" s="178" t="s">
        <v>56</v>
      </c>
      <c r="C118" s="178" t="s">
        <v>146</v>
      </c>
      <c r="D118" s="178" t="s">
        <v>147</v>
      </c>
      <c r="E118" s="178" t="s">
        <v>298</v>
      </c>
      <c r="F118" s="184">
        <v>45049</v>
      </c>
      <c r="G118" s="182" t="s">
        <v>299</v>
      </c>
      <c r="H118" s="180">
        <v>5970</v>
      </c>
      <c r="I118" s="181">
        <f>IF(X118 = 44, H118 + SUM(S118:S118) - SUM(T118:T118) - SUM(P118:P118) - V118,0)</f>
        <v>0</v>
      </c>
      <c r="J118" s="185">
        <v>235002152355</v>
      </c>
      <c r="K118" s="186" t="s">
        <v>225</v>
      </c>
      <c r="L118" s="178" t="s">
        <v>146</v>
      </c>
      <c r="M118" s="178"/>
      <c r="N118" s="184"/>
      <c r="O118" s="184" t="s">
        <v>235</v>
      </c>
      <c r="P118" s="180">
        <v>5970</v>
      </c>
      <c r="Q118" s="182">
        <v>45061</v>
      </c>
      <c r="R118" s="178"/>
      <c r="S118" s="180"/>
      <c r="T118" s="180"/>
      <c r="U118" s="180"/>
      <c r="V118" s="187"/>
      <c r="W118" s="175"/>
      <c r="X118" s="108">
        <v>44</v>
      </c>
    </row>
    <row r="119" spans="1:24" s="108" customFormat="1" ht="108" x14ac:dyDescent="0.3">
      <c r="A119" s="211">
        <v>27</v>
      </c>
      <c r="B119" s="212" t="s">
        <v>56</v>
      </c>
      <c r="C119" s="212" t="s">
        <v>146</v>
      </c>
      <c r="D119" s="212" t="s">
        <v>147</v>
      </c>
      <c r="E119" s="212" t="s">
        <v>301</v>
      </c>
      <c r="F119" s="234">
        <v>45049</v>
      </c>
      <c r="G119" s="217" t="s">
        <v>299</v>
      </c>
      <c r="H119" s="214">
        <v>7350</v>
      </c>
      <c r="I119" s="215">
        <f>IF(X119 = 45, H119 + SUM(S119:S119) - SUM(T119:T119) - SUM(P119:P119) - V119,0)</f>
        <v>0</v>
      </c>
      <c r="J119" s="230">
        <v>235002152355</v>
      </c>
      <c r="K119" s="231" t="s">
        <v>225</v>
      </c>
      <c r="L119" s="212" t="s">
        <v>146</v>
      </c>
      <c r="M119" s="212" t="s">
        <v>300</v>
      </c>
      <c r="N119" s="234"/>
      <c r="O119" s="234" t="s">
        <v>235</v>
      </c>
      <c r="P119" s="214">
        <v>7350</v>
      </c>
      <c r="Q119" s="217">
        <v>45061</v>
      </c>
      <c r="R119" s="212"/>
      <c r="S119" s="214"/>
      <c r="T119" s="214"/>
      <c r="U119" s="214"/>
      <c r="V119" s="232"/>
      <c r="W119" s="210"/>
      <c r="X119" s="108">
        <v>45</v>
      </c>
    </row>
    <row r="120" spans="1:24" s="108" customFormat="1" ht="131.25" customHeight="1" x14ac:dyDescent="0.3">
      <c r="A120" s="391">
        <v>28</v>
      </c>
      <c r="B120" s="397" t="s">
        <v>56</v>
      </c>
      <c r="C120" s="397" t="s">
        <v>146</v>
      </c>
      <c r="D120" s="397" t="s">
        <v>147</v>
      </c>
      <c r="E120" s="397" t="s">
        <v>130</v>
      </c>
      <c r="F120" s="393">
        <v>45019</v>
      </c>
      <c r="G120" s="527" t="s">
        <v>305</v>
      </c>
      <c r="H120" s="395">
        <v>1650</v>
      </c>
      <c r="I120" s="405">
        <f>IF(X120 = 46, H120 + SUM(S120:S121) - SUM(T120:T121) - SUM(P120:P121) - V120,0)</f>
        <v>0</v>
      </c>
      <c r="J120" s="529">
        <v>2353020735</v>
      </c>
      <c r="K120" s="531" t="s">
        <v>157</v>
      </c>
      <c r="L120" s="397" t="s">
        <v>146</v>
      </c>
      <c r="M120" s="397"/>
      <c r="N120" s="263"/>
      <c r="O120" s="393" t="s">
        <v>235</v>
      </c>
      <c r="P120" s="257">
        <v>725</v>
      </c>
      <c r="Q120" s="258">
        <v>45063</v>
      </c>
      <c r="R120" s="259"/>
      <c r="S120" s="257"/>
      <c r="T120" s="257"/>
      <c r="U120" s="395" t="s">
        <v>345</v>
      </c>
      <c r="V120" s="525">
        <v>450</v>
      </c>
      <c r="W120" s="401"/>
      <c r="X120" s="108">
        <v>46</v>
      </c>
    </row>
    <row r="121" spans="1:24" s="2" customFormat="1" x14ac:dyDescent="0.3">
      <c r="A121" s="392"/>
      <c r="B121" s="398"/>
      <c r="C121" s="398"/>
      <c r="D121" s="398"/>
      <c r="E121" s="398"/>
      <c r="F121" s="394"/>
      <c r="G121" s="528"/>
      <c r="H121" s="396"/>
      <c r="I121" s="406"/>
      <c r="J121" s="530"/>
      <c r="K121" s="532"/>
      <c r="L121" s="398"/>
      <c r="M121" s="398"/>
      <c r="N121" s="264">
        <v>45065</v>
      </c>
      <c r="O121" s="394"/>
      <c r="P121" s="260">
        <v>475</v>
      </c>
      <c r="Q121" s="261" t="s">
        <v>343</v>
      </c>
      <c r="R121" s="262"/>
      <c r="S121" s="260"/>
      <c r="T121" s="260"/>
      <c r="U121" s="396"/>
      <c r="V121" s="526"/>
      <c r="W121" s="402"/>
      <c r="X121" s="2">
        <v>46</v>
      </c>
    </row>
    <row r="122" spans="1:24" s="108" customFormat="1" ht="131.25" customHeight="1" x14ac:dyDescent="0.3">
      <c r="A122" s="391">
        <v>29</v>
      </c>
      <c r="B122" s="397" t="s">
        <v>56</v>
      </c>
      <c r="C122" s="397" t="s">
        <v>146</v>
      </c>
      <c r="D122" s="397" t="s">
        <v>147</v>
      </c>
      <c r="E122" s="397" t="s">
        <v>131</v>
      </c>
      <c r="F122" s="393">
        <v>45019</v>
      </c>
      <c r="G122" s="527" t="s">
        <v>306</v>
      </c>
      <c r="H122" s="395">
        <v>5111.04</v>
      </c>
      <c r="I122" s="405">
        <f>IF(X122 = 47, H122 + SUM(S122:S123) - SUM(T122:T123) - SUM(P122:P123) - V122,0)</f>
        <v>0</v>
      </c>
      <c r="J122" s="529">
        <v>2353020735</v>
      </c>
      <c r="K122" s="531" t="s">
        <v>157</v>
      </c>
      <c r="L122" s="397" t="s">
        <v>146</v>
      </c>
      <c r="M122" s="397"/>
      <c r="N122" s="263"/>
      <c r="O122" s="393" t="s">
        <v>181</v>
      </c>
      <c r="P122" s="257">
        <v>2201.6799999999998</v>
      </c>
      <c r="Q122" s="258">
        <v>45063</v>
      </c>
      <c r="R122" s="259"/>
      <c r="S122" s="257"/>
      <c r="T122" s="257"/>
      <c r="U122" s="395" t="s">
        <v>345</v>
      </c>
      <c r="V122" s="525">
        <v>1479.04</v>
      </c>
      <c r="W122" s="401"/>
      <c r="X122" s="108">
        <v>47</v>
      </c>
    </row>
    <row r="123" spans="1:24" s="2" customFormat="1" x14ac:dyDescent="0.3">
      <c r="A123" s="392"/>
      <c r="B123" s="398"/>
      <c r="C123" s="398"/>
      <c r="D123" s="398"/>
      <c r="E123" s="398"/>
      <c r="F123" s="394"/>
      <c r="G123" s="528"/>
      <c r="H123" s="396"/>
      <c r="I123" s="406"/>
      <c r="J123" s="530"/>
      <c r="K123" s="532"/>
      <c r="L123" s="398"/>
      <c r="M123" s="398"/>
      <c r="N123" s="264">
        <v>45065</v>
      </c>
      <c r="O123" s="394"/>
      <c r="P123" s="260">
        <v>1430.32</v>
      </c>
      <c r="Q123" s="261">
        <v>45079</v>
      </c>
      <c r="R123" s="262"/>
      <c r="S123" s="260"/>
      <c r="T123" s="260"/>
      <c r="U123" s="396"/>
      <c r="V123" s="526"/>
      <c r="W123" s="402"/>
      <c r="X123" s="2">
        <v>47</v>
      </c>
    </row>
    <row r="124" spans="1:24" s="108" customFormat="1" ht="108" x14ac:dyDescent="0.3">
      <c r="A124" s="236">
        <v>30</v>
      </c>
      <c r="B124" s="237" t="s">
        <v>56</v>
      </c>
      <c r="C124" s="237" t="s">
        <v>146</v>
      </c>
      <c r="D124" s="237" t="s">
        <v>147</v>
      </c>
      <c r="E124" s="237" t="s">
        <v>316</v>
      </c>
      <c r="F124" s="244">
        <v>45072</v>
      </c>
      <c r="G124" s="238" t="s">
        <v>317</v>
      </c>
      <c r="H124" s="239">
        <v>7000</v>
      </c>
      <c r="I124" s="240">
        <f>IF(X124 = 48, H124 + SUM(S124:S124) - SUM(T124:T124) - SUM(P124:P124) - V124,0)</f>
        <v>0</v>
      </c>
      <c r="J124" s="241">
        <v>2353018870</v>
      </c>
      <c r="K124" s="242" t="s">
        <v>161</v>
      </c>
      <c r="L124" s="237" t="s">
        <v>146</v>
      </c>
      <c r="M124" s="237"/>
      <c r="N124" s="244"/>
      <c r="O124" s="244" t="s">
        <v>235</v>
      </c>
      <c r="P124" s="239">
        <v>7000</v>
      </c>
      <c r="Q124" s="238">
        <v>45099</v>
      </c>
      <c r="R124" s="237"/>
      <c r="S124" s="239"/>
      <c r="T124" s="239"/>
      <c r="U124" s="239"/>
      <c r="V124" s="243"/>
      <c r="W124" s="233"/>
      <c r="X124" s="108">
        <v>48</v>
      </c>
    </row>
    <row r="125" spans="1:24" s="108" customFormat="1" ht="108" x14ac:dyDescent="0.3">
      <c r="A125" s="236">
        <v>31</v>
      </c>
      <c r="B125" s="237" t="s">
        <v>56</v>
      </c>
      <c r="C125" s="237" t="s">
        <v>146</v>
      </c>
      <c r="D125" s="237" t="s">
        <v>147</v>
      </c>
      <c r="E125" s="237" t="s">
        <v>318</v>
      </c>
      <c r="F125" s="244">
        <v>45082</v>
      </c>
      <c r="G125" s="238" t="s">
        <v>319</v>
      </c>
      <c r="H125" s="239">
        <v>7172</v>
      </c>
      <c r="I125" s="240">
        <f>IF(X125 = 49, H125 + SUM(S125:S125) - SUM(T125:T125) - SUM(P125:P125) - V125,0)</f>
        <v>0</v>
      </c>
      <c r="J125" s="241">
        <v>235002152355</v>
      </c>
      <c r="K125" s="242" t="s">
        <v>320</v>
      </c>
      <c r="L125" s="237" t="s">
        <v>146</v>
      </c>
      <c r="M125" s="237"/>
      <c r="N125" s="244">
        <v>45082</v>
      </c>
      <c r="O125" s="244" t="s">
        <v>235</v>
      </c>
      <c r="P125" s="239">
        <v>7172</v>
      </c>
      <c r="Q125" s="238">
        <v>45082</v>
      </c>
      <c r="R125" s="237"/>
      <c r="S125" s="239"/>
      <c r="T125" s="239"/>
      <c r="U125" s="239"/>
      <c r="V125" s="243"/>
      <c r="W125" s="233"/>
      <c r="X125" s="108">
        <v>49</v>
      </c>
    </row>
    <row r="126" spans="1:24" s="108" customFormat="1" ht="131.25" customHeight="1" x14ac:dyDescent="0.3">
      <c r="A126" s="391">
        <v>32</v>
      </c>
      <c r="B126" s="397" t="s">
        <v>56</v>
      </c>
      <c r="C126" s="397" t="s">
        <v>146</v>
      </c>
      <c r="D126" s="397" t="s">
        <v>147</v>
      </c>
      <c r="E126" s="397" t="s">
        <v>330</v>
      </c>
      <c r="F126" s="393">
        <v>45082</v>
      </c>
      <c r="G126" s="527" t="s">
        <v>331</v>
      </c>
      <c r="H126" s="395">
        <v>78450</v>
      </c>
      <c r="I126" s="405">
        <f>IF(X126 = 50, H126 + SUM(S126:S127) - SUM(T126:T127) - SUM(P126:P127) - V126,0)</f>
        <v>0</v>
      </c>
      <c r="J126" s="529">
        <v>235002152355</v>
      </c>
      <c r="K126" s="531" t="s">
        <v>320</v>
      </c>
      <c r="L126" s="397" t="s">
        <v>146</v>
      </c>
      <c r="M126" s="397"/>
      <c r="N126" s="263">
        <v>45082</v>
      </c>
      <c r="O126" s="393" t="s">
        <v>235</v>
      </c>
      <c r="P126" s="257">
        <v>77540</v>
      </c>
      <c r="Q126" s="258">
        <v>45082</v>
      </c>
      <c r="R126" s="259"/>
      <c r="S126" s="257"/>
      <c r="T126" s="257"/>
      <c r="U126" s="395"/>
      <c r="V126" s="525"/>
      <c r="W126" s="401"/>
      <c r="X126" s="108">
        <v>50</v>
      </c>
    </row>
    <row r="127" spans="1:24" s="2" customFormat="1" x14ac:dyDescent="0.3">
      <c r="A127" s="392"/>
      <c r="B127" s="398"/>
      <c r="C127" s="398"/>
      <c r="D127" s="398"/>
      <c r="E127" s="398"/>
      <c r="F127" s="394"/>
      <c r="G127" s="528"/>
      <c r="H127" s="396"/>
      <c r="I127" s="406"/>
      <c r="J127" s="530"/>
      <c r="K127" s="532"/>
      <c r="L127" s="398"/>
      <c r="M127" s="398"/>
      <c r="N127" s="264">
        <v>45082</v>
      </c>
      <c r="O127" s="394"/>
      <c r="P127" s="260">
        <v>910</v>
      </c>
      <c r="Q127" s="261">
        <v>45082</v>
      </c>
      <c r="R127" s="262"/>
      <c r="S127" s="260"/>
      <c r="T127" s="260"/>
      <c r="U127" s="396"/>
      <c r="V127" s="526"/>
      <c r="W127" s="402"/>
      <c r="X127" s="2">
        <v>50</v>
      </c>
    </row>
    <row r="128" spans="1:24" s="108" customFormat="1" ht="108" x14ac:dyDescent="0.3">
      <c r="A128" s="236">
        <v>33</v>
      </c>
      <c r="B128" s="237" t="s">
        <v>56</v>
      </c>
      <c r="C128" s="237" t="s">
        <v>146</v>
      </c>
      <c r="D128" s="237" t="s">
        <v>147</v>
      </c>
      <c r="E128" s="237" t="s">
        <v>337</v>
      </c>
      <c r="F128" s="247">
        <v>45093</v>
      </c>
      <c r="G128" s="238" t="s">
        <v>338</v>
      </c>
      <c r="H128" s="239">
        <v>7700</v>
      </c>
      <c r="I128" s="240">
        <f>IF(X128 = 51, H128 + SUM(S128:S128) - SUM(T128:T128) - SUM(P128:P128) - V128,0)</f>
        <v>0</v>
      </c>
      <c r="J128" s="241">
        <v>235002152355</v>
      </c>
      <c r="K128" s="242" t="s">
        <v>320</v>
      </c>
      <c r="L128" s="237" t="s">
        <v>146</v>
      </c>
      <c r="M128" s="237"/>
      <c r="N128" s="247">
        <v>45093</v>
      </c>
      <c r="O128" s="247" t="s">
        <v>235</v>
      </c>
      <c r="P128" s="239">
        <v>7700</v>
      </c>
      <c r="Q128" s="238">
        <v>45096</v>
      </c>
      <c r="R128" s="237"/>
      <c r="S128" s="239"/>
      <c r="T128" s="239"/>
      <c r="U128" s="239"/>
      <c r="V128" s="243"/>
      <c r="W128" s="235"/>
      <c r="X128" s="108">
        <v>51</v>
      </c>
    </row>
    <row r="129" spans="1:24" s="108" customFormat="1" ht="108" x14ac:dyDescent="0.3">
      <c r="A129" s="279">
        <v>34</v>
      </c>
      <c r="B129" s="281" t="s">
        <v>56</v>
      </c>
      <c r="C129" s="281" t="s">
        <v>146</v>
      </c>
      <c r="D129" s="281" t="s">
        <v>147</v>
      </c>
      <c r="E129" s="281" t="s">
        <v>349</v>
      </c>
      <c r="F129" s="291">
        <v>45124</v>
      </c>
      <c r="G129" s="286" t="s">
        <v>350</v>
      </c>
      <c r="H129" s="280">
        <v>22000</v>
      </c>
      <c r="I129" s="285">
        <f>IF(X129 = 52, H129 + SUM(S129:S129) - SUM(T129:T129) - SUM(P129:P129) - V129,0)</f>
        <v>0</v>
      </c>
      <c r="J129" s="288">
        <v>235002152355</v>
      </c>
      <c r="K129" s="289" t="s">
        <v>225</v>
      </c>
      <c r="L129" s="281" t="s">
        <v>146</v>
      </c>
      <c r="M129" s="281"/>
      <c r="N129" s="291"/>
      <c r="O129" s="291" t="s">
        <v>235</v>
      </c>
      <c r="P129" s="280">
        <v>22000</v>
      </c>
      <c r="Q129" s="286">
        <v>45125</v>
      </c>
      <c r="R129" s="281"/>
      <c r="S129" s="280"/>
      <c r="T129" s="280"/>
      <c r="U129" s="280"/>
      <c r="V129" s="287"/>
      <c r="W129" s="283"/>
      <c r="X129" s="108">
        <v>52</v>
      </c>
    </row>
    <row r="130" spans="1:24" x14ac:dyDescent="0.3">
      <c r="B130" s="110"/>
      <c r="X130" s="8">
        <v>53</v>
      </c>
    </row>
    <row r="131" spans="1:24" x14ac:dyDescent="0.3">
      <c r="B131" s="110"/>
    </row>
    <row r="132" spans="1:24" x14ac:dyDescent="0.3">
      <c r="B132" s="110"/>
    </row>
    <row r="133" spans="1:24" x14ac:dyDescent="0.3">
      <c r="B133" s="110"/>
      <c r="E133" s="45"/>
    </row>
  </sheetData>
  <sheetProtection password="EB34" sheet="1" objects="1" scenarios="1" formatCells="0" formatColumns="0" formatRows="0"/>
  <mergeCells count="343">
    <mergeCell ref="W104:W106"/>
    <mergeCell ref="E101:E103"/>
    <mergeCell ref="F101:F103"/>
    <mergeCell ref="G101:G103"/>
    <mergeCell ref="H101:H103"/>
    <mergeCell ref="I101:I103"/>
    <mergeCell ref="A104:A106"/>
    <mergeCell ref="O104:O106"/>
    <mergeCell ref="U104:U106"/>
    <mergeCell ref="B104:B106"/>
    <mergeCell ref="M104:M106"/>
    <mergeCell ref="L104:L106"/>
    <mergeCell ref="V104:V106"/>
    <mergeCell ref="A98:A100"/>
    <mergeCell ref="O98:O100"/>
    <mergeCell ref="U98:U100"/>
    <mergeCell ref="B98:B100"/>
    <mergeCell ref="V98:V100"/>
    <mergeCell ref="C98:C100"/>
    <mergeCell ref="W101:W103"/>
    <mergeCell ref="M98:M100"/>
    <mergeCell ref="D98:D100"/>
    <mergeCell ref="E98:E100"/>
    <mergeCell ref="F98:F100"/>
    <mergeCell ref="G98:G100"/>
    <mergeCell ref="H98:H100"/>
    <mergeCell ref="J101:J103"/>
    <mergeCell ref="K101:K103"/>
    <mergeCell ref="L101:L103"/>
    <mergeCell ref="A101:A103"/>
    <mergeCell ref="O101:O103"/>
    <mergeCell ref="U101:U103"/>
    <mergeCell ref="B101:B103"/>
    <mergeCell ref="V101:V103"/>
    <mergeCell ref="C101:C103"/>
    <mergeCell ref="M101:M103"/>
    <mergeCell ref="D101:D103"/>
    <mergeCell ref="W75:W78"/>
    <mergeCell ref="D75:D78"/>
    <mergeCell ref="E75:E78"/>
    <mergeCell ref="F75:F78"/>
    <mergeCell ref="G75:G78"/>
    <mergeCell ref="H75:H78"/>
    <mergeCell ref="W92:W97"/>
    <mergeCell ref="M75:M78"/>
    <mergeCell ref="W98:W100"/>
    <mergeCell ref="O92:O97"/>
    <mergeCell ref="U92:U97"/>
    <mergeCell ref="V75:V78"/>
    <mergeCell ref="L75:L78"/>
    <mergeCell ref="L92:L97"/>
    <mergeCell ref="L98:L100"/>
    <mergeCell ref="V92:V97"/>
    <mergeCell ref="C52:C56"/>
    <mergeCell ref="W52:W56"/>
    <mergeCell ref="D52:D56"/>
    <mergeCell ref="E52:E56"/>
    <mergeCell ref="F52:F56"/>
    <mergeCell ref="G52:G56"/>
    <mergeCell ref="H52:H56"/>
    <mergeCell ref="I52:I56"/>
    <mergeCell ref="J52:J56"/>
    <mergeCell ref="K52:K56"/>
    <mergeCell ref="L52:L56"/>
    <mergeCell ref="M52:M56"/>
    <mergeCell ref="U52:U56"/>
    <mergeCell ref="S2:U2"/>
    <mergeCell ref="F2:G2"/>
    <mergeCell ref="N2:O2"/>
    <mergeCell ref="U42:U51"/>
    <mergeCell ref="B42:B51"/>
    <mergeCell ref="V42:V51"/>
    <mergeCell ref="C42:C51"/>
    <mergeCell ref="W42:W51"/>
    <mergeCell ref="D42:D51"/>
    <mergeCell ref="E42:E51"/>
    <mergeCell ref="F42:F51"/>
    <mergeCell ref="G42:G51"/>
    <mergeCell ref="H42:H51"/>
    <mergeCell ref="I42:I51"/>
    <mergeCell ref="J42:J51"/>
    <mergeCell ref="K42:K51"/>
    <mergeCell ref="L42:L51"/>
    <mergeCell ref="M42:M51"/>
    <mergeCell ref="V9:V11"/>
    <mergeCell ref="W9:W11"/>
    <mergeCell ref="W68:W71"/>
    <mergeCell ref="D68:D71"/>
    <mergeCell ref="E68:E71"/>
    <mergeCell ref="F68:F71"/>
    <mergeCell ref="G68:G71"/>
    <mergeCell ref="H68:H71"/>
    <mergeCell ref="I68:I71"/>
    <mergeCell ref="J68:J71"/>
    <mergeCell ref="K68:K71"/>
    <mergeCell ref="L68:L71"/>
    <mergeCell ref="M68:M71"/>
    <mergeCell ref="A72:A74"/>
    <mergeCell ref="O72:O74"/>
    <mergeCell ref="U72:U74"/>
    <mergeCell ref="B72:B74"/>
    <mergeCell ref="A68:A71"/>
    <mergeCell ref="O68:O71"/>
    <mergeCell ref="U68:U71"/>
    <mergeCell ref="B68:B71"/>
    <mergeCell ref="V68:V71"/>
    <mergeCell ref="C68:C71"/>
    <mergeCell ref="W72:W74"/>
    <mergeCell ref="D72:D74"/>
    <mergeCell ref="E72:E74"/>
    <mergeCell ref="F72:F74"/>
    <mergeCell ref="G72:G74"/>
    <mergeCell ref="H72:H74"/>
    <mergeCell ref="I72:I74"/>
    <mergeCell ref="J72:J74"/>
    <mergeCell ref="K72:K74"/>
    <mergeCell ref="L72:L74"/>
    <mergeCell ref="M72:M74"/>
    <mergeCell ref="C104:C106"/>
    <mergeCell ref="E92:E97"/>
    <mergeCell ref="F92:F97"/>
    <mergeCell ref="G92:G97"/>
    <mergeCell ref="H92:H97"/>
    <mergeCell ref="I92:I97"/>
    <mergeCell ref="D92:D97"/>
    <mergeCell ref="V72:V74"/>
    <mergeCell ref="C72:C74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I75:I78"/>
    <mergeCell ref="J75:J78"/>
    <mergeCell ref="K75:K78"/>
    <mergeCell ref="I98:I100"/>
    <mergeCell ref="J92:J97"/>
    <mergeCell ref="K92:K97"/>
    <mergeCell ref="J98:J100"/>
    <mergeCell ref="K98:K100"/>
    <mergeCell ref="A75:A78"/>
    <mergeCell ref="O75:O78"/>
    <mergeCell ref="U75:U78"/>
    <mergeCell ref="B75:B78"/>
    <mergeCell ref="A92:A97"/>
    <mergeCell ref="A9:A11"/>
    <mergeCell ref="O9:O11"/>
    <mergeCell ref="U9:U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92:B97"/>
    <mergeCell ref="C92:C97"/>
    <mergeCell ref="M92:M97"/>
    <mergeCell ref="C75:C78"/>
    <mergeCell ref="A109:A110"/>
    <mergeCell ref="O109:O110"/>
    <mergeCell ref="U109:U110"/>
    <mergeCell ref="B109:B110"/>
    <mergeCell ref="V109:V110"/>
    <mergeCell ref="C109:C110"/>
    <mergeCell ref="W109:W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A79:A90"/>
    <mergeCell ref="O79:O90"/>
    <mergeCell ref="U79:U90"/>
    <mergeCell ref="B79:B90"/>
    <mergeCell ref="V79:V90"/>
    <mergeCell ref="C79:C90"/>
    <mergeCell ref="W79:W90"/>
    <mergeCell ref="D79:D90"/>
    <mergeCell ref="E79:E90"/>
    <mergeCell ref="F79:F90"/>
    <mergeCell ref="G79:G90"/>
    <mergeCell ref="H79:H90"/>
    <mergeCell ref="I79:I90"/>
    <mergeCell ref="J79:J90"/>
    <mergeCell ref="K79:K90"/>
    <mergeCell ref="L79:L90"/>
    <mergeCell ref="M79:M90"/>
    <mergeCell ref="A122:A123"/>
    <mergeCell ref="O122:O123"/>
    <mergeCell ref="U122:U123"/>
    <mergeCell ref="B122:B123"/>
    <mergeCell ref="V122:V123"/>
    <mergeCell ref="C122:C123"/>
    <mergeCell ref="W122:W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A120:A121"/>
    <mergeCell ref="O120:O121"/>
    <mergeCell ref="U120:U121"/>
    <mergeCell ref="B120:B121"/>
    <mergeCell ref="V120:V121"/>
    <mergeCell ref="C120:C121"/>
    <mergeCell ref="W120:W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W36:W41"/>
    <mergeCell ref="A58:A67"/>
    <mergeCell ref="O58:O67"/>
    <mergeCell ref="U58:U67"/>
    <mergeCell ref="B58:B67"/>
    <mergeCell ref="V58:V67"/>
    <mergeCell ref="C58:C67"/>
    <mergeCell ref="A52:A56"/>
    <mergeCell ref="O52:O56"/>
    <mergeCell ref="W58:W67"/>
    <mergeCell ref="D58:D67"/>
    <mergeCell ref="E58:E67"/>
    <mergeCell ref="F58:F67"/>
    <mergeCell ref="G58:G67"/>
    <mergeCell ref="H58:H67"/>
    <mergeCell ref="I58:I67"/>
    <mergeCell ref="J58:J67"/>
    <mergeCell ref="K58:K67"/>
    <mergeCell ref="L58:L67"/>
    <mergeCell ref="M58:M67"/>
    <mergeCell ref="B52:B56"/>
    <mergeCell ref="A42:A51"/>
    <mergeCell ref="O42:O51"/>
    <mergeCell ref="V52:V56"/>
    <mergeCell ref="A126:A127"/>
    <mergeCell ref="O126:O127"/>
    <mergeCell ref="U126:U127"/>
    <mergeCell ref="B126:B127"/>
    <mergeCell ref="V126:V127"/>
    <mergeCell ref="C126:C127"/>
    <mergeCell ref="W126:W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W19:W35"/>
    <mergeCell ref="D19:D35"/>
    <mergeCell ref="E19:E35"/>
    <mergeCell ref="F19:F35"/>
    <mergeCell ref="G19:G35"/>
    <mergeCell ref="H19:H35"/>
    <mergeCell ref="I19:I35"/>
    <mergeCell ref="J19:J35"/>
    <mergeCell ref="K19:K35"/>
    <mergeCell ref="L19:L35"/>
    <mergeCell ref="M19:M35"/>
    <mergeCell ref="W12:W18"/>
    <mergeCell ref="D12:D18"/>
    <mergeCell ref="E12:E18"/>
    <mergeCell ref="F12:F18"/>
    <mergeCell ref="G12:G18"/>
    <mergeCell ref="H12:H18"/>
    <mergeCell ref="I12:I18"/>
    <mergeCell ref="J12:J18"/>
    <mergeCell ref="K12:K18"/>
    <mergeCell ref="L12:L18"/>
    <mergeCell ref="M12:M18"/>
    <mergeCell ref="J36:J41"/>
    <mergeCell ref="K36:K41"/>
    <mergeCell ref="L36:L41"/>
    <mergeCell ref="A12:A18"/>
    <mergeCell ref="O12:O18"/>
    <mergeCell ref="U12:U18"/>
    <mergeCell ref="B12:B18"/>
    <mergeCell ref="V12:V18"/>
    <mergeCell ref="C12:C18"/>
    <mergeCell ref="A19:A35"/>
    <mergeCell ref="O19:O35"/>
    <mergeCell ref="U19:U35"/>
    <mergeCell ref="B19:B35"/>
    <mergeCell ref="V19:V35"/>
    <mergeCell ref="C19:C35"/>
    <mergeCell ref="A36:A41"/>
    <mergeCell ref="O36:O41"/>
    <mergeCell ref="U36:U41"/>
    <mergeCell ref="B36:B41"/>
    <mergeCell ref="V36:V41"/>
    <mergeCell ref="C36:C41"/>
    <mergeCell ref="M36:M41"/>
    <mergeCell ref="A115:A117"/>
    <mergeCell ref="O115:O117"/>
    <mergeCell ref="U115:U117"/>
    <mergeCell ref="B115:B117"/>
    <mergeCell ref="V115:V117"/>
    <mergeCell ref="C115:C117"/>
    <mergeCell ref="W115:W117"/>
    <mergeCell ref="D115:D117"/>
    <mergeCell ref="E115:E117"/>
    <mergeCell ref="F115:F117"/>
    <mergeCell ref="G115:G117"/>
    <mergeCell ref="H115:H117"/>
    <mergeCell ref="I115:I117"/>
    <mergeCell ref="J115:J117"/>
    <mergeCell ref="K115:K117"/>
    <mergeCell ref="L115:L117"/>
    <mergeCell ref="M115:M117"/>
    <mergeCell ref="D36:D41"/>
    <mergeCell ref="E36:E41"/>
    <mergeCell ref="F36:F41"/>
    <mergeCell ref="G36:G41"/>
    <mergeCell ref="H36:H41"/>
    <mergeCell ref="I36:I4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topLeftCell="C1" zoomScale="50" zoomScaleNormal="50" workbookViewId="0">
      <pane ySplit="8" topLeftCell="A9" activePane="bottomLeft" state="frozen"/>
      <selection pane="bottomLeft" activeCell="G9" sqref="G9:G16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580" t="s">
        <v>24</v>
      </c>
      <c r="F2" s="581"/>
      <c r="G2" s="98">
        <f>SUM(G9:G9999)</f>
        <v>1960582.45</v>
      </c>
      <c r="L2" s="629" t="s">
        <v>137</v>
      </c>
      <c r="M2" s="630"/>
      <c r="N2" s="87">
        <f>SUM(N9:N9999)</f>
        <v>813409.12</v>
      </c>
      <c r="P2" s="86"/>
      <c r="Q2" s="452" t="s">
        <v>45</v>
      </c>
      <c r="R2" s="453"/>
      <c r="S2" s="454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37.5" customHeight="1" x14ac:dyDescent="0.3">
      <c r="A9" s="631">
        <v>1</v>
      </c>
      <c r="B9" s="617"/>
      <c r="C9" s="617" t="s">
        <v>188</v>
      </c>
      <c r="D9" s="617" t="s">
        <v>153</v>
      </c>
      <c r="E9" s="634">
        <v>44951</v>
      </c>
      <c r="F9" s="637" t="s">
        <v>154</v>
      </c>
      <c r="G9" s="614">
        <v>1201103.3999999999</v>
      </c>
      <c r="H9" s="623">
        <f>IF(V9 = 1, G9 + SUM(Q9:Q15) - SUM(R9:R15) - SUM(N9:N15) - T9,0)</f>
        <v>387694.27999999991</v>
      </c>
      <c r="I9" s="626">
        <v>2312054894</v>
      </c>
      <c r="J9" s="617" t="s">
        <v>155</v>
      </c>
      <c r="K9" s="617" t="s">
        <v>156</v>
      </c>
      <c r="L9" s="206">
        <v>44227</v>
      </c>
      <c r="M9" s="617" t="s">
        <v>152</v>
      </c>
      <c r="N9" s="200">
        <v>274502.33</v>
      </c>
      <c r="O9" s="206">
        <v>44986</v>
      </c>
      <c r="P9" s="201"/>
      <c r="Q9" s="200"/>
      <c r="R9" s="200"/>
      <c r="S9" s="637"/>
      <c r="T9" s="614"/>
      <c r="U9" s="620"/>
      <c r="V9" s="108">
        <v>1</v>
      </c>
    </row>
    <row r="10" spans="1:22" s="2" customFormat="1" x14ac:dyDescent="0.3">
      <c r="A10" s="632"/>
      <c r="B10" s="618"/>
      <c r="C10" s="618"/>
      <c r="D10" s="618"/>
      <c r="E10" s="635"/>
      <c r="F10" s="638"/>
      <c r="G10" s="615"/>
      <c r="H10" s="624"/>
      <c r="I10" s="627"/>
      <c r="J10" s="618"/>
      <c r="K10" s="618"/>
      <c r="L10" s="207">
        <v>44957</v>
      </c>
      <c r="M10" s="618"/>
      <c r="N10" s="202">
        <v>60000</v>
      </c>
      <c r="O10" s="207">
        <v>44988</v>
      </c>
      <c r="P10" s="203"/>
      <c r="Q10" s="202"/>
      <c r="R10" s="202"/>
      <c r="S10" s="638"/>
      <c r="T10" s="615"/>
      <c r="U10" s="621"/>
      <c r="V10" s="2">
        <v>1</v>
      </c>
    </row>
    <row r="11" spans="1:22" s="2" customFormat="1" x14ac:dyDescent="0.3">
      <c r="A11" s="632"/>
      <c r="B11" s="618"/>
      <c r="C11" s="618"/>
      <c r="D11" s="618"/>
      <c r="E11" s="635"/>
      <c r="F11" s="638"/>
      <c r="G11" s="615"/>
      <c r="H11" s="624"/>
      <c r="I11" s="627"/>
      <c r="J11" s="618"/>
      <c r="K11" s="618"/>
      <c r="L11" s="207">
        <v>44985</v>
      </c>
      <c r="M11" s="618"/>
      <c r="N11" s="202">
        <v>180000</v>
      </c>
      <c r="O11" s="207">
        <v>45008</v>
      </c>
      <c r="P11" s="203"/>
      <c r="Q11" s="202"/>
      <c r="R11" s="202"/>
      <c r="S11" s="638"/>
      <c r="T11" s="615"/>
      <c r="U11" s="621"/>
      <c r="V11" s="2">
        <v>1</v>
      </c>
    </row>
    <row r="12" spans="1:22" s="2" customFormat="1" x14ac:dyDescent="0.3">
      <c r="A12" s="632"/>
      <c r="B12" s="618"/>
      <c r="C12" s="618"/>
      <c r="D12" s="618"/>
      <c r="E12" s="635"/>
      <c r="F12" s="638"/>
      <c r="G12" s="615"/>
      <c r="H12" s="624"/>
      <c r="I12" s="627"/>
      <c r="J12" s="618"/>
      <c r="K12" s="618"/>
      <c r="L12" s="207">
        <v>44985</v>
      </c>
      <c r="M12" s="618"/>
      <c r="N12" s="202">
        <v>24143.63</v>
      </c>
      <c r="O12" s="207">
        <v>45013</v>
      </c>
      <c r="P12" s="203"/>
      <c r="Q12" s="202"/>
      <c r="R12" s="202"/>
      <c r="S12" s="638"/>
      <c r="T12" s="615"/>
      <c r="U12" s="621"/>
      <c r="V12" s="2">
        <v>1</v>
      </c>
    </row>
    <row r="13" spans="1:22" s="2" customFormat="1" x14ac:dyDescent="0.3">
      <c r="A13" s="632"/>
      <c r="B13" s="618"/>
      <c r="C13" s="618"/>
      <c r="D13" s="618"/>
      <c r="E13" s="635"/>
      <c r="F13" s="638"/>
      <c r="G13" s="615"/>
      <c r="H13" s="624"/>
      <c r="I13" s="627"/>
      <c r="J13" s="618"/>
      <c r="K13" s="618"/>
      <c r="L13" s="207">
        <v>44985</v>
      </c>
      <c r="M13" s="618"/>
      <c r="N13" s="202">
        <v>65000</v>
      </c>
      <c r="O13" s="207">
        <v>45022</v>
      </c>
      <c r="P13" s="203"/>
      <c r="Q13" s="202"/>
      <c r="R13" s="202"/>
      <c r="S13" s="638"/>
      <c r="T13" s="615"/>
      <c r="U13" s="621"/>
      <c r="V13" s="2">
        <v>1</v>
      </c>
    </row>
    <row r="14" spans="1:22" s="2" customFormat="1" x14ac:dyDescent="0.3">
      <c r="A14" s="632"/>
      <c r="B14" s="618"/>
      <c r="C14" s="618"/>
      <c r="D14" s="618"/>
      <c r="E14" s="635"/>
      <c r="F14" s="638"/>
      <c r="G14" s="615"/>
      <c r="H14" s="624"/>
      <c r="I14" s="627"/>
      <c r="J14" s="618"/>
      <c r="K14" s="618"/>
      <c r="L14" s="207">
        <v>45016</v>
      </c>
      <c r="M14" s="618"/>
      <c r="N14" s="202">
        <v>130032.9</v>
      </c>
      <c r="O14" s="207">
        <v>45037</v>
      </c>
      <c r="P14" s="203"/>
      <c r="Q14" s="202"/>
      <c r="R14" s="202"/>
      <c r="S14" s="638"/>
      <c r="T14" s="615"/>
      <c r="U14" s="621"/>
      <c r="V14" s="2">
        <v>1</v>
      </c>
    </row>
    <row r="15" spans="1:22" s="2" customFormat="1" x14ac:dyDescent="0.3">
      <c r="A15" s="633"/>
      <c r="B15" s="619"/>
      <c r="C15" s="619"/>
      <c r="D15" s="619"/>
      <c r="E15" s="636"/>
      <c r="F15" s="639"/>
      <c r="G15" s="616"/>
      <c r="H15" s="625"/>
      <c r="I15" s="628"/>
      <c r="J15" s="619"/>
      <c r="K15" s="619"/>
      <c r="L15" s="208">
        <v>45046</v>
      </c>
      <c r="M15" s="619"/>
      <c r="N15" s="204">
        <v>79730.259999999995</v>
      </c>
      <c r="O15" s="208">
        <v>45064</v>
      </c>
      <c r="P15" s="205"/>
      <c r="Q15" s="204"/>
      <c r="R15" s="204"/>
      <c r="S15" s="639"/>
      <c r="T15" s="616"/>
      <c r="U15" s="622"/>
      <c r="V15" s="2">
        <v>1</v>
      </c>
    </row>
    <row r="16" spans="1:22" s="108" customFormat="1" ht="54" x14ac:dyDescent="0.3">
      <c r="A16" s="236">
        <v>2</v>
      </c>
      <c r="B16" s="237"/>
      <c r="C16" s="237" t="s">
        <v>147</v>
      </c>
      <c r="D16" s="237" t="s">
        <v>339</v>
      </c>
      <c r="E16" s="247">
        <v>45096</v>
      </c>
      <c r="F16" s="238" t="s">
        <v>340</v>
      </c>
      <c r="G16" s="239">
        <v>759479.05</v>
      </c>
      <c r="H16" s="240">
        <f>IF(V16 = 2, G16 + SUM(Q16:Q16) - SUM(R16:R16) - SUM(N16:N16) - T16,0)</f>
        <v>759479.05</v>
      </c>
      <c r="I16" s="248">
        <v>7715995942</v>
      </c>
      <c r="J16" s="237" t="s">
        <v>277</v>
      </c>
      <c r="K16" s="237" t="s">
        <v>341</v>
      </c>
      <c r="L16" s="247"/>
      <c r="M16" s="237" t="s">
        <v>342</v>
      </c>
      <c r="N16" s="239"/>
      <c r="O16" s="247"/>
      <c r="P16" s="238"/>
      <c r="Q16" s="239"/>
      <c r="R16" s="239"/>
      <c r="S16" s="238"/>
      <c r="T16" s="239"/>
      <c r="U16" s="235"/>
      <c r="V16" s="108">
        <v>2</v>
      </c>
    </row>
    <row r="17" spans="1:22" s="108" customFormat="1" x14ac:dyDescent="0.3">
      <c r="A17" s="236">
        <v>3</v>
      </c>
      <c r="B17" s="237"/>
      <c r="C17" s="237"/>
      <c r="D17" s="237"/>
      <c r="E17" s="247"/>
      <c r="F17" s="238"/>
      <c r="G17" s="239"/>
      <c r="H17" s="240">
        <f>IF(V17 = 3, G17 + SUM(Q17:Q17) - SUM(R17:R17) - SUM(N17:N17) - T17,0)</f>
        <v>0</v>
      </c>
      <c r="I17" s="248"/>
      <c r="J17" s="237"/>
      <c r="K17" s="237"/>
      <c r="L17" s="247"/>
      <c r="M17" s="237"/>
      <c r="N17" s="239"/>
      <c r="O17" s="247"/>
      <c r="P17" s="238"/>
      <c r="Q17" s="239"/>
      <c r="R17" s="239"/>
      <c r="S17" s="238"/>
      <c r="T17" s="239"/>
      <c r="U17" s="235"/>
      <c r="V17" s="108">
        <v>3</v>
      </c>
    </row>
    <row r="18" spans="1:22" x14ac:dyDescent="0.3">
      <c r="V18" s="8">
        <v>4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5"/>
    <mergeCell ref="B9:B15"/>
    <mergeCell ref="D9:D15"/>
    <mergeCell ref="E9:E15"/>
    <mergeCell ref="F9:F15"/>
    <mergeCell ref="M9:M15"/>
    <mergeCell ref="S9:S15"/>
    <mergeCell ref="T9:T15"/>
    <mergeCell ref="C9:C15"/>
    <mergeCell ref="U9:U15"/>
    <mergeCell ref="G9:G15"/>
    <mergeCell ref="H9:H15"/>
    <mergeCell ref="I9:I15"/>
    <mergeCell ref="J9:J15"/>
    <mergeCell ref="K9:K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I1" zoomScale="50" zoomScaleNormal="50" workbookViewId="0">
      <pane ySplit="8" topLeftCell="A9" activePane="bottomLeft" state="frozen"/>
      <selection pane="bottomLeft" activeCell="W11" sqref="W11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80" t="s">
        <v>139</v>
      </c>
      <c r="F2" s="581"/>
      <c r="G2" s="100">
        <f>SUM(G9:G9999)</f>
        <v>26100</v>
      </c>
      <c r="H2" s="15"/>
      <c r="O2" s="580" t="s">
        <v>24</v>
      </c>
      <c r="P2" s="581"/>
      <c r="Q2" s="98">
        <f>SUM(Q9:Q9999)</f>
        <v>25578</v>
      </c>
      <c r="T2" s="452" t="s">
        <v>137</v>
      </c>
      <c r="U2" s="454"/>
      <c r="V2" s="87">
        <f>SUM(V9:V9999)</f>
        <v>8526</v>
      </c>
      <c r="X2" s="86"/>
      <c r="Y2" s="452" t="s">
        <v>45</v>
      </c>
      <c r="Z2" s="453"/>
      <c r="AA2" s="454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8" customFormat="1" ht="168.75" customHeight="1" x14ac:dyDescent="0.3">
      <c r="A9" s="661">
        <v>1</v>
      </c>
      <c r="B9" s="643" t="s">
        <v>56</v>
      </c>
      <c r="C9" s="643" t="s">
        <v>250</v>
      </c>
      <c r="D9" s="643" t="s">
        <v>147</v>
      </c>
      <c r="E9" s="643" t="s">
        <v>251</v>
      </c>
      <c r="F9" s="643" t="s">
        <v>252</v>
      </c>
      <c r="G9" s="640">
        <v>26100</v>
      </c>
      <c r="H9" s="649">
        <f>IF(AD9 = 1, G9 - Q9,0)</f>
        <v>522</v>
      </c>
      <c r="I9" s="640">
        <v>4</v>
      </c>
      <c r="J9" s="640"/>
      <c r="K9" s="643" t="s">
        <v>179</v>
      </c>
      <c r="L9" s="652"/>
      <c r="M9" s="643" t="s">
        <v>253</v>
      </c>
      <c r="N9" s="655">
        <v>45009</v>
      </c>
      <c r="O9" s="643" t="s">
        <v>172</v>
      </c>
      <c r="P9" s="643" t="s">
        <v>171</v>
      </c>
      <c r="Q9" s="640">
        <v>25578</v>
      </c>
      <c r="R9" s="649">
        <f>IF(AD9 = 1, Q9 + SUM(Y9:Y12) - SUM(Z9:Z12) - SUM(V9:V12) - AB9,0)</f>
        <v>17052</v>
      </c>
      <c r="S9" s="643"/>
      <c r="T9" s="311">
        <v>45050</v>
      </c>
      <c r="U9" s="658" t="s">
        <v>254</v>
      </c>
      <c r="V9" s="305">
        <v>2842</v>
      </c>
      <c r="W9" s="311">
        <v>45061</v>
      </c>
      <c r="X9" s="306"/>
      <c r="Y9" s="305"/>
      <c r="Z9" s="305"/>
      <c r="AA9" s="658"/>
      <c r="AB9" s="640"/>
      <c r="AC9" s="646"/>
      <c r="AD9" s="108">
        <v>1</v>
      </c>
    </row>
    <row r="10" spans="1:33" s="2" customFormat="1" x14ac:dyDescent="0.3">
      <c r="A10" s="662"/>
      <c r="B10" s="644"/>
      <c r="C10" s="644"/>
      <c r="D10" s="644"/>
      <c r="E10" s="644"/>
      <c r="F10" s="644"/>
      <c r="G10" s="641"/>
      <c r="H10" s="650"/>
      <c r="I10" s="641"/>
      <c r="J10" s="641"/>
      <c r="K10" s="644"/>
      <c r="L10" s="653"/>
      <c r="M10" s="644"/>
      <c r="N10" s="656"/>
      <c r="O10" s="644"/>
      <c r="P10" s="644"/>
      <c r="Q10" s="641"/>
      <c r="R10" s="650"/>
      <c r="S10" s="644"/>
      <c r="T10" s="312">
        <v>45077</v>
      </c>
      <c r="U10" s="659"/>
      <c r="V10" s="307">
        <v>2842</v>
      </c>
      <c r="W10" s="312">
        <v>45082</v>
      </c>
      <c r="X10" s="308"/>
      <c r="Y10" s="307"/>
      <c r="Z10" s="307"/>
      <c r="AA10" s="659"/>
      <c r="AB10" s="641"/>
      <c r="AC10" s="647"/>
      <c r="AD10" s="2">
        <v>1</v>
      </c>
    </row>
    <row r="11" spans="1:33" s="2" customFormat="1" x14ac:dyDescent="0.3">
      <c r="A11" s="662"/>
      <c r="B11" s="644"/>
      <c r="C11" s="644"/>
      <c r="D11" s="644"/>
      <c r="E11" s="644"/>
      <c r="F11" s="644"/>
      <c r="G11" s="641"/>
      <c r="H11" s="650"/>
      <c r="I11" s="641"/>
      <c r="J11" s="641"/>
      <c r="K11" s="644"/>
      <c r="L11" s="653"/>
      <c r="M11" s="644"/>
      <c r="N11" s="656"/>
      <c r="O11" s="644"/>
      <c r="P11" s="644"/>
      <c r="Q11" s="641"/>
      <c r="R11" s="650"/>
      <c r="S11" s="644"/>
      <c r="T11" s="312">
        <v>45107</v>
      </c>
      <c r="U11" s="659"/>
      <c r="V11" s="307">
        <v>2842</v>
      </c>
      <c r="W11" s="312">
        <v>45117</v>
      </c>
      <c r="X11" s="308"/>
      <c r="Y11" s="307"/>
      <c r="Z11" s="307"/>
      <c r="AA11" s="659"/>
      <c r="AB11" s="641"/>
      <c r="AC11" s="647"/>
      <c r="AD11" s="2">
        <v>1</v>
      </c>
    </row>
    <row r="12" spans="1:33" s="2" customFormat="1" x14ac:dyDescent="0.3">
      <c r="A12" s="663"/>
      <c r="B12" s="645"/>
      <c r="C12" s="645"/>
      <c r="D12" s="645"/>
      <c r="E12" s="645"/>
      <c r="F12" s="645"/>
      <c r="G12" s="642"/>
      <c r="H12" s="651"/>
      <c r="I12" s="642"/>
      <c r="J12" s="642"/>
      <c r="K12" s="645"/>
      <c r="L12" s="654"/>
      <c r="M12" s="645"/>
      <c r="N12" s="657"/>
      <c r="O12" s="645"/>
      <c r="P12" s="645"/>
      <c r="Q12" s="642"/>
      <c r="R12" s="651"/>
      <c r="S12" s="645"/>
      <c r="T12" s="313"/>
      <c r="U12" s="660"/>
      <c r="V12" s="309"/>
      <c r="W12" s="313"/>
      <c r="X12" s="310"/>
      <c r="Y12" s="309"/>
      <c r="Z12" s="309"/>
      <c r="AA12" s="660"/>
      <c r="AB12" s="642"/>
      <c r="AC12" s="648"/>
      <c r="AD12" s="2">
        <v>1</v>
      </c>
    </row>
    <row r="13" spans="1:33" x14ac:dyDescent="0.3">
      <c r="AD13" s="8">
        <v>2</v>
      </c>
    </row>
  </sheetData>
  <sheetProtection password="EB34" sheet="1" objects="1" scenarios="1" formatCells="0" formatColumns="0" formatRows="0"/>
  <mergeCells count="27">
    <mergeCell ref="A9:A12"/>
    <mergeCell ref="B9:B12"/>
    <mergeCell ref="U9:U12"/>
    <mergeCell ref="AA9:AA12"/>
    <mergeCell ref="E2:F2"/>
    <mergeCell ref="O2:P2"/>
    <mergeCell ref="Y2:AA2"/>
    <mergeCell ref="T2:U2"/>
    <mergeCell ref="Q9:Q12"/>
    <mergeCell ref="R9:R12"/>
    <mergeCell ref="S9:S12"/>
    <mergeCell ref="AB9:AB12"/>
    <mergeCell ref="C9:C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topLeftCell="O1" zoomScale="50" zoomScaleNormal="50" workbookViewId="0">
      <pane ySplit="8" topLeftCell="A11" activePane="bottomLeft" state="frozen"/>
      <selection pane="bottomLeft" activeCell="R9" sqref="R9:R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580" t="s">
        <v>139</v>
      </c>
      <c r="F2" s="581"/>
      <c r="G2" s="100">
        <f>SUM(G9:G9999)</f>
        <v>763740.72</v>
      </c>
      <c r="H2" s="15"/>
      <c r="O2" s="580" t="s">
        <v>24</v>
      </c>
      <c r="P2" s="581"/>
      <c r="Q2" s="98">
        <f>SUM(Q9:Q9999)</f>
        <v>763740.72</v>
      </c>
      <c r="T2" s="452" t="s">
        <v>137</v>
      </c>
      <c r="U2" s="454"/>
      <c r="V2" s="87">
        <f>SUM(V9:V9999)</f>
        <v>364893.69999999995</v>
      </c>
      <c r="X2" s="86"/>
      <c r="Y2" s="452" t="s">
        <v>45</v>
      </c>
      <c r="Z2" s="453"/>
      <c r="AA2" s="454"/>
      <c r="AB2" s="88">
        <f>SUM(AB9:AB9999)</f>
        <v>398847.02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8" customFormat="1" ht="75" customHeight="1" x14ac:dyDescent="0.3">
      <c r="A9" s="674">
        <v>1</v>
      </c>
      <c r="B9" s="666" t="s">
        <v>56</v>
      </c>
      <c r="C9" s="666" t="s">
        <v>278</v>
      </c>
      <c r="D9" s="666" t="s">
        <v>147</v>
      </c>
      <c r="E9" s="666" t="s">
        <v>279</v>
      </c>
      <c r="F9" s="666" t="s">
        <v>280</v>
      </c>
      <c r="G9" s="664">
        <v>763740.72</v>
      </c>
      <c r="H9" s="670">
        <f>IF(AD9 = 1, G9 - Q9,0)</f>
        <v>0</v>
      </c>
      <c r="I9" s="664">
        <v>1</v>
      </c>
      <c r="J9" s="664"/>
      <c r="K9" s="666" t="s">
        <v>179</v>
      </c>
      <c r="L9" s="666"/>
      <c r="M9" s="666" t="s">
        <v>279</v>
      </c>
      <c r="N9" s="672">
        <v>45023</v>
      </c>
      <c r="O9" s="666" t="s">
        <v>281</v>
      </c>
      <c r="P9" s="666" t="s">
        <v>282</v>
      </c>
      <c r="Q9" s="664">
        <v>763740.72</v>
      </c>
      <c r="R9" s="670">
        <f>IF(AD9 = 1, Q9 + SUM(Y9:Y30) - SUM(Z9:Z30) - SUM(V9:V30) - AB9,0)</f>
        <v>0</v>
      </c>
      <c r="S9" s="666"/>
      <c r="T9" s="255">
        <v>45062</v>
      </c>
      <c r="U9" s="666" t="s">
        <v>283</v>
      </c>
      <c r="V9" s="251">
        <v>11850</v>
      </c>
      <c r="W9" s="255">
        <v>45064</v>
      </c>
      <c r="X9" s="252"/>
      <c r="Y9" s="251"/>
      <c r="Z9" s="251"/>
      <c r="AA9" s="666"/>
      <c r="AB9" s="664">
        <v>398847.02</v>
      </c>
      <c r="AC9" s="668"/>
      <c r="AD9" s="108">
        <v>1</v>
      </c>
    </row>
    <row r="10" spans="1:33" s="2" customFormat="1" x14ac:dyDescent="0.3">
      <c r="A10" s="675"/>
      <c r="B10" s="667"/>
      <c r="C10" s="667"/>
      <c r="D10" s="667"/>
      <c r="E10" s="667"/>
      <c r="F10" s="667"/>
      <c r="G10" s="665"/>
      <c r="H10" s="671"/>
      <c r="I10" s="665"/>
      <c r="J10" s="665"/>
      <c r="K10" s="667"/>
      <c r="L10" s="667"/>
      <c r="M10" s="667"/>
      <c r="N10" s="673"/>
      <c r="O10" s="667"/>
      <c r="P10" s="667"/>
      <c r="Q10" s="665"/>
      <c r="R10" s="671"/>
      <c r="S10" s="667"/>
      <c r="T10" s="256">
        <v>45062</v>
      </c>
      <c r="U10" s="667"/>
      <c r="V10" s="253">
        <v>28425</v>
      </c>
      <c r="W10" s="256">
        <v>45064</v>
      </c>
      <c r="X10" s="254"/>
      <c r="Y10" s="253"/>
      <c r="Z10" s="253"/>
      <c r="AA10" s="667"/>
      <c r="AB10" s="665"/>
      <c r="AC10" s="669"/>
      <c r="AD10" s="2">
        <v>1</v>
      </c>
    </row>
    <row r="11" spans="1:33" s="2" customFormat="1" x14ac:dyDescent="0.3">
      <c r="A11" s="675"/>
      <c r="B11" s="667"/>
      <c r="C11" s="667"/>
      <c r="D11" s="667"/>
      <c r="E11" s="667"/>
      <c r="F11" s="667"/>
      <c r="G11" s="665"/>
      <c r="H11" s="671"/>
      <c r="I11" s="665"/>
      <c r="J11" s="665"/>
      <c r="K11" s="667"/>
      <c r="L11" s="667"/>
      <c r="M11" s="667"/>
      <c r="N11" s="673"/>
      <c r="O11" s="667"/>
      <c r="P11" s="667"/>
      <c r="Q11" s="665"/>
      <c r="R11" s="671"/>
      <c r="S11" s="667"/>
      <c r="T11" s="256">
        <v>45062</v>
      </c>
      <c r="U11" s="667"/>
      <c r="V11" s="253">
        <v>82766.22</v>
      </c>
      <c r="W11" s="256">
        <v>45064</v>
      </c>
      <c r="X11" s="254"/>
      <c r="Y11" s="253"/>
      <c r="Z11" s="253"/>
      <c r="AA11" s="667"/>
      <c r="AB11" s="665"/>
      <c r="AC11" s="669"/>
      <c r="AD11" s="2">
        <v>1</v>
      </c>
    </row>
    <row r="12" spans="1:33" s="2" customFormat="1" x14ac:dyDescent="0.3">
      <c r="A12" s="675"/>
      <c r="B12" s="667"/>
      <c r="C12" s="667"/>
      <c r="D12" s="667"/>
      <c r="E12" s="667"/>
      <c r="F12" s="667"/>
      <c r="G12" s="665"/>
      <c r="H12" s="671"/>
      <c r="I12" s="665"/>
      <c r="J12" s="665"/>
      <c r="K12" s="667"/>
      <c r="L12" s="667"/>
      <c r="M12" s="667"/>
      <c r="N12" s="673"/>
      <c r="O12" s="667"/>
      <c r="P12" s="667"/>
      <c r="Q12" s="665"/>
      <c r="R12" s="671"/>
      <c r="S12" s="667"/>
      <c r="T12" s="256">
        <v>45062</v>
      </c>
      <c r="U12" s="667"/>
      <c r="V12" s="253">
        <v>5283.06</v>
      </c>
      <c r="W12" s="256">
        <v>45064</v>
      </c>
      <c r="X12" s="254"/>
      <c r="Y12" s="253"/>
      <c r="Z12" s="253"/>
      <c r="AA12" s="667"/>
      <c r="AB12" s="665"/>
      <c r="AC12" s="669"/>
      <c r="AD12" s="2">
        <v>1</v>
      </c>
    </row>
    <row r="13" spans="1:33" s="2" customFormat="1" x14ac:dyDescent="0.3">
      <c r="A13" s="675"/>
      <c r="B13" s="667"/>
      <c r="C13" s="667"/>
      <c r="D13" s="667"/>
      <c r="E13" s="667"/>
      <c r="F13" s="667"/>
      <c r="G13" s="665"/>
      <c r="H13" s="671"/>
      <c r="I13" s="665"/>
      <c r="J13" s="665"/>
      <c r="K13" s="667"/>
      <c r="L13" s="667"/>
      <c r="M13" s="667"/>
      <c r="N13" s="673"/>
      <c r="O13" s="667"/>
      <c r="P13" s="667"/>
      <c r="Q13" s="665"/>
      <c r="R13" s="671"/>
      <c r="S13" s="667"/>
      <c r="T13" s="256">
        <v>45062</v>
      </c>
      <c r="U13" s="667"/>
      <c r="V13" s="253">
        <v>875</v>
      </c>
      <c r="W13" s="256">
        <v>45064</v>
      </c>
      <c r="X13" s="254"/>
      <c r="Y13" s="253"/>
      <c r="Z13" s="253"/>
      <c r="AA13" s="667"/>
      <c r="AB13" s="665"/>
      <c r="AC13" s="669"/>
      <c r="AD13" s="2">
        <v>1</v>
      </c>
    </row>
    <row r="14" spans="1:33" s="2" customFormat="1" x14ac:dyDescent="0.3">
      <c r="A14" s="675"/>
      <c r="B14" s="667"/>
      <c r="C14" s="667"/>
      <c r="D14" s="667"/>
      <c r="E14" s="667"/>
      <c r="F14" s="667"/>
      <c r="G14" s="665"/>
      <c r="H14" s="671"/>
      <c r="I14" s="665"/>
      <c r="J14" s="665"/>
      <c r="K14" s="667"/>
      <c r="L14" s="667"/>
      <c r="M14" s="667"/>
      <c r="N14" s="673"/>
      <c r="O14" s="667"/>
      <c r="P14" s="667"/>
      <c r="Q14" s="665"/>
      <c r="R14" s="671"/>
      <c r="S14" s="667"/>
      <c r="T14" s="256">
        <v>45062</v>
      </c>
      <c r="U14" s="667"/>
      <c r="V14" s="253">
        <v>7800</v>
      </c>
      <c r="W14" s="256">
        <v>45064</v>
      </c>
      <c r="X14" s="254"/>
      <c r="Y14" s="253"/>
      <c r="Z14" s="253"/>
      <c r="AA14" s="667"/>
      <c r="AB14" s="665"/>
      <c r="AC14" s="669"/>
      <c r="AD14" s="2">
        <v>1</v>
      </c>
    </row>
    <row r="15" spans="1:33" s="2" customFormat="1" x14ac:dyDescent="0.3">
      <c r="A15" s="675"/>
      <c r="B15" s="667"/>
      <c r="C15" s="667"/>
      <c r="D15" s="667"/>
      <c r="E15" s="667"/>
      <c r="F15" s="667"/>
      <c r="G15" s="665"/>
      <c r="H15" s="671"/>
      <c r="I15" s="665"/>
      <c r="J15" s="665"/>
      <c r="K15" s="667"/>
      <c r="L15" s="667"/>
      <c r="M15" s="667"/>
      <c r="N15" s="673"/>
      <c r="O15" s="667"/>
      <c r="P15" s="667"/>
      <c r="Q15" s="665"/>
      <c r="R15" s="671"/>
      <c r="S15" s="667"/>
      <c r="T15" s="256">
        <v>45062</v>
      </c>
      <c r="U15" s="667"/>
      <c r="V15" s="253">
        <v>3106.89</v>
      </c>
      <c r="W15" s="256">
        <v>45064</v>
      </c>
      <c r="X15" s="254"/>
      <c r="Y15" s="253"/>
      <c r="Z15" s="253"/>
      <c r="AA15" s="667"/>
      <c r="AB15" s="665"/>
      <c r="AC15" s="669"/>
      <c r="AD15" s="2">
        <v>1</v>
      </c>
    </row>
    <row r="16" spans="1:33" s="2" customFormat="1" x14ac:dyDescent="0.3">
      <c r="A16" s="675"/>
      <c r="B16" s="667"/>
      <c r="C16" s="667"/>
      <c r="D16" s="667"/>
      <c r="E16" s="667"/>
      <c r="F16" s="667"/>
      <c r="G16" s="665"/>
      <c r="H16" s="671"/>
      <c r="I16" s="665"/>
      <c r="J16" s="665"/>
      <c r="K16" s="667"/>
      <c r="L16" s="667"/>
      <c r="M16" s="667"/>
      <c r="N16" s="673"/>
      <c r="O16" s="667"/>
      <c r="P16" s="667"/>
      <c r="Q16" s="665"/>
      <c r="R16" s="671"/>
      <c r="S16" s="667"/>
      <c r="T16" s="256">
        <v>45062</v>
      </c>
      <c r="U16" s="667"/>
      <c r="V16" s="253">
        <v>14942.3</v>
      </c>
      <c r="W16" s="256">
        <v>45064</v>
      </c>
      <c r="X16" s="254"/>
      <c r="Y16" s="253"/>
      <c r="Z16" s="253"/>
      <c r="AA16" s="667"/>
      <c r="AB16" s="665"/>
      <c r="AC16" s="669"/>
      <c r="AD16" s="2">
        <v>1</v>
      </c>
    </row>
    <row r="17" spans="1:30" s="2" customFormat="1" x14ac:dyDescent="0.3">
      <c r="A17" s="675"/>
      <c r="B17" s="667"/>
      <c r="C17" s="667"/>
      <c r="D17" s="667"/>
      <c r="E17" s="667"/>
      <c r="F17" s="667"/>
      <c r="G17" s="665"/>
      <c r="H17" s="671"/>
      <c r="I17" s="665"/>
      <c r="J17" s="665"/>
      <c r="K17" s="667"/>
      <c r="L17" s="667"/>
      <c r="M17" s="667"/>
      <c r="N17" s="673"/>
      <c r="O17" s="667"/>
      <c r="P17" s="667"/>
      <c r="Q17" s="665"/>
      <c r="R17" s="671"/>
      <c r="S17" s="667"/>
      <c r="T17" s="256">
        <v>45062</v>
      </c>
      <c r="U17" s="667"/>
      <c r="V17" s="253">
        <v>12225.52</v>
      </c>
      <c r="W17" s="256">
        <v>45064</v>
      </c>
      <c r="X17" s="254"/>
      <c r="Y17" s="253"/>
      <c r="Z17" s="253"/>
      <c r="AA17" s="667"/>
      <c r="AB17" s="665"/>
      <c r="AC17" s="669"/>
      <c r="AD17" s="2">
        <v>1</v>
      </c>
    </row>
    <row r="18" spans="1:30" s="2" customFormat="1" x14ac:dyDescent="0.3">
      <c r="A18" s="675"/>
      <c r="B18" s="667"/>
      <c r="C18" s="667"/>
      <c r="D18" s="667"/>
      <c r="E18" s="667"/>
      <c r="F18" s="667"/>
      <c r="G18" s="665"/>
      <c r="H18" s="671"/>
      <c r="I18" s="665"/>
      <c r="J18" s="665"/>
      <c r="K18" s="667"/>
      <c r="L18" s="667"/>
      <c r="M18" s="667"/>
      <c r="N18" s="673"/>
      <c r="O18" s="667"/>
      <c r="P18" s="667"/>
      <c r="Q18" s="665"/>
      <c r="R18" s="671"/>
      <c r="S18" s="667"/>
      <c r="T18" s="256">
        <v>45064</v>
      </c>
      <c r="U18" s="667"/>
      <c r="V18" s="253">
        <v>31986.71</v>
      </c>
      <c r="W18" s="256">
        <v>45070</v>
      </c>
      <c r="X18" s="254"/>
      <c r="Y18" s="253"/>
      <c r="Z18" s="253"/>
      <c r="AA18" s="667"/>
      <c r="AB18" s="665"/>
      <c r="AC18" s="669"/>
      <c r="AD18" s="2">
        <v>1</v>
      </c>
    </row>
    <row r="19" spans="1:30" s="2" customFormat="1" x14ac:dyDescent="0.3">
      <c r="A19" s="675"/>
      <c r="B19" s="667"/>
      <c r="C19" s="667"/>
      <c r="D19" s="667"/>
      <c r="E19" s="667"/>
      <c r="F19" s="667"/>
      <c r="G19" s="665"/>
      <c r="H19" s="671"/>
      <c r="I19" s="665"/>
      <c r="J19" s="665"/>
      <c r="K19" s="667"/>
      <c r="L19" s="667"/>
      <c r="M19" s="667"/>
      <c r="N19" s="673"/>
      <c r="O19" s="667"/>
      <c r="P19" s="667"/>
      <c r="Q19" s="665"/>
      <c r="R19" s="671"/>
      <c r="S19" s="667"/>
      <c r="T19" s="256">
        <v>45064</v>
      </c>
      <c r="U19" s="667"/>
      <c r="V19" s="253">
        <v>2041.75</v>
      </c>
      <c r="W19" s="256">
        <v>45070</v>
      </c>
      <c r="X19" s="254"/>
      <c r="Y19" s="253"/>
      <c r="Z19" s="253"/>
      <c r="AA19" s="667"/>
      <c r="AB19" s="665"/>
      <c r="AC19" s="669"/>
      <c r="AD19" s="2">
        <v>1</v>
      </c>
    </row>
    <row r="20" spans="1:30" s="2" customFormat="1" x14ac:dyDescent="0.3">
      <c r="A20" s="675"/>
      <c r="B20" s="667"/>
      <c r="C20" s="667"/>
      <c r="D20" s="667"/>
      <c r="E20" s="667"/>
      <c r="F20" s="667"/>
      <c r="G20" s="665"/>
      <c r="H20" s="671"/>
      <c r="I20" s="665"/>
      <c r="J20" s="665"/>
      <c r="K20" s="667"/>
      <c r="L20" s="667"/>
      <c r="M20" s="667"/>
      <c r="N20" s="673"/>
      <c r="O20" s="667"/>
      <c r="P20" s="667"/>
      <c r="Q20" s="665"/>
      <c r="R20" s="671"/>
      <c r="S20" s="667"/>
      <c r="T20" s="256">
        <v>45079</v>
      </c>
      <c r="U20" s="667"/>
      <c r="V20" s="253">
        <v>29287.41</v>
      </c>
      <c r="W20" s="256">
        <v>45075</v>
      </c>
      <c r="X20" s="254"/>
      <c r="Y20" s="253"/>
      <c r="Z20" s="253"/>
      <c r="AA20" s="667"/>
      <c r="AB20" s="665"/>
      <c r="AC20" s="669"/>
      <c r="AD20" s="2">
        <v>1</v>
      </c>
    </row>
    <row r="21" spans="1:30" s="2" customFormat="1" x14ac:dyDescent="0.3">
      <c r="A21" s="675"/>
      <c r="B21" s="667"/>
      <c r="C21" s="667"/>
      <c r="D21" s="667"/>
      <c r="E21" s="667"/>
      <c r="F21" s="667"/>
      <c r="G21" s="665"/>
      <c r="H21" s="671"/>
      <c r="I21" s="665"/>
      <c r="J21" s="665"/>
      <c r="K21" s="667"/>
      <c r="L21" s="667"/>
      <c r="M21" s="667"/>
      <c r="N21" s="673"/>
      <c r="O21" s="667"/>
      <c r="P21" s="667"/>
      <c r="Q21" s="665"/>
      <c r="R21" s="671"/>
      <c r="S21" s="667"/>
      <c r="T21" s="256">
        <v>45079</v>
      </c>
      <c r="U21" s="667"/>
      <c r="V21" s="253">
        <v>1869.45</v>
      </c>
      <c r="W21" s="256">
        <v>45075</v>
      </c>
      <c r="X21" s="254"/>
      <c r="Y21" s="253"/>
      <c r="Z21" s="253"/>
      <c r="AA21" s="667"/>
      <c r="AB21" s="665"/>
      <c r="AC21" s="669"/>
      <c r="AD21" s="2">
        <v>1</v>
      </c>
    </row>
    <row r="22" spans="1:30" s="2" customFormat="1" x14ac:dyDescent="0.3">
      <c r="A22" s="675"/>
      <c r="B22" s="667"/>
      <c r="C22" s="667"/>
      <c r="D22" s="667"/>
      <c r="E22" s="667"/>
      <c r="F22" s="667"/>
      <c r="G22" s="665"/>
      <c r="H22" s="671"/>
      <c r="I22" s="665"/>
      <c r="J22" s="665"/>
      <c r="K22" s="667"/>
      <c r="L22" s="667"/>
      <c r="M22" s="667"/>
      <c r="N22" s="673"/>
      <c r="O22" s="667"/>
      <c r="P22" s="667"/>
      <c r="Q22" s="665"/>
      <c r="R22" s="671"/>
      <c r="S22" s="667"/>
      <c r="T22" s="256">
        <v>45079</v>
      </c>
      <c r="U22" s="667"/>
      <c r="V22" s="253">
        <v>10850</v>
      </c>
      <c r="W22" s="256">
        <v>45075</v>
      </c>
      <c r="X22" s="254"/>
      <c r="Y22" s="253"/>
      <c r="Z22" s="253"/>
      <c r="AA22" s="667"/>
      <c r="AB22" s="665"/>
      <c r="AC22" s="669"/>
      <c r="AD22" s="2">
        <v>1</v>
      </c>
    </row>
    <row r="23" spans="1:30" s="2" customFormat="1" x14ac:dyDescent="0.3">
      <c r="A23" s="675"/>
      <c r="B23" s="667"/>
      <c r="C23" s="667"/>
      <c r="D23" s="667"/>
      <c r="E23" s="667"/>
      <c r="F23" s="667"/>
      <c r="G23" s="665"/>
      <c r="H23" s="671"/>
      <c r="I23" s="665"/>
      <c r="J23" s="665"/>
      <c r="K23" s="667"/>
      <c r="L23" s="667"/>
      <c r="M23" s="667"/>
      <c r="N23" s="673"/>
      <c r="O23" s="667"/>
      <c r="P23" s="667"/>
      <c r="Q23" s="665"/>
      <c r="R23" s="671"/>
      <c r="S23" s="667"/>
      <c r="T23" s="256">
        <v>45079</v>
      </c>
      <c r="U23" s="667"/>
      <c r="V23" s="253">
        <v>5925</v>
      </c>
      <c r="W23" s="256">
        <v>45072</v>
      </c>
      <c r="X23" s="254"/>
      <c r="Y23" s="253"/>
      <c r="Z23" s="253"/>
      <c r="AA23" s="667"/>
      <c r="AB23" s="665"/>
      <c r="AC23" s="669"/>
      <c r="AD23" s="2">
        <v>1</v>
      </c>
    </row>
    <row r="24" spans="1:30" s="2" customFormat="1" x14ac:dyDescent="0.3">
      <c r="A24" s="675"/>
      <c r="B24" s="667"/>
      <c r="C24" s="667"/>
      <c r="D24" s="667"/>
      <c r="E24" s="667"/>
      <c r="F24" s="667"/>
      <c r="G24" s="665"/>
      <c r="H24" s="671"/>
      <c r="I24" s="665"/>
      <c r="J24" s="665"/>
      <c r="K24" s="667"/>
      <c r="L24" s="667"/>
      <c r="M24" s="667"/>
      <c r="N24" s="673"/>
      <c r="O24" s="667"/>
      <c r="P24" s="667"/>
      <c r="Q24" s="665"/>
      <c r="R24" s="671"/>
      <c r="S24" s="667"/>
      <c r="T24" s="256">
        <v>45079</v>
      </c>
      <c r="U24" s="667"/>
      <c r="V24" s="253">
        <v>700</v>
      </c>
      <c r="W24" s="256">
        <v>45072</v>
      </c>
      <c r="X24" s="254"/>
      <c r="Y24" s="253"/>
      <c r="Z24" s="253"/>
      <c r="AA24" s="667"/>
      <c r="AB24" s="665"/>
      <c r="AC24" s="669"/>
      <c r="AD24" s="2">
        <v>1</v>
      </c>
    </row>
    <row r="25" spans="1:30" s="2" customFormat="1" x14ac:dyDescent="0.3">
      <c r="A25" s="675"/>
      <c r="B25" s="667"/>
      <c r="C25" s="667"/>
      <c r="D25" s="667"/>
      <c r="E25" s="667"/>
      <c r="F25" s="667"/>
      <c r="G25" s="665"/>
      <c r="H25" s="671"/>
      <c r="I25" s="665"/>
      <c r="J25" s="665"/>
      <c r="K25" s="667"/>
      <c r="L25" s="667"/>
      <c r="M25" s="667"/>
      <c r="N25" s="673"/>
      <c r="O25" s="667"/>
      <c r="P25" s="667"/>
      <c r="Q25" s="665"/>
      <c r="R25" s="671"/>
      <c r="S25" s="667"/>
      <c r="T25" s="256">
        <v>45079</v>
      </c>
      <c r="U25" s="667"/>
      <c r="V25" s="253">
        <v>23700</v>
      </c>
      <c r="W25" s="256">
        <v>45072</v>
      </c>
      <c r="X25" s="254"/>
      <c r="Y25" s="253"/>
      <c r="Z25" s="253"/>
      <c r="AA25" s="667"/>
      <c r="AB25" s="665"/>
      <c r="AC25" s="669"/>
      <c r="AD25" s="2">
        <v>1</v>
      </c>
    </row>
    <row r="26" spans="1:30" s="2" customFormat="1" x14ac:dyDescent="0.3">
      <c r="A26" s="675"/>
      <c r="B26" s="667"/>
      <c r="C26" s="667"/>
      <c r="D26" s="667"/>
      <c r="E26" s="667"/>
      <c r="F26" s="667"/>
      <c r="G26" s="665"/>
      <c r="H26" s="671"/>
      <c r="I26" s="665"/>
      <c r="J26" s="665"/>
      <c r="K26" s="667"/>
      <c r="L26" s="667"/>
      <c r="M26" s="667"/>
      <c r="N26" s="673"/>
      <c r="O26" s="667"/>
      <c r="P26" s="667"/>
      <c r="Q26" s="665"/>
      <c r="R26" s="671"/>
      <c r="S26" s="667"/>
      <c r="T26" s="256">
        <v>45079</v>
      </c>
      <c r="U26" s="667"/>
      <c r="V26" s="253">
        <v>2499.16</v>
      </c>
      <c r="W26" s="256">
        <v>45072</v>
      </c>
      <c r="X26" s="254"/>
      <c r="Y26" s="253"/>
      <c r="Z26" s="253"/>
      <c r="AA26" s="667"/>
      <c r="AB26" s="665"/>
      <c r="AC26" s="669"/>
      <c r="AD26" s="2">
        <v>1</v>
      </c>
    </row>
    <row r="27" spans="1:30" s="2" customFormat="1" x14ac:dyDescent="0.3">
      <c r="A27" s="675"/>
      <c r="B27" s="667"/>
      <c r="C27" s="667"/>
      <c r="D27" s="667"/>
      <c r="E27" s="667"/>
      <c r="F27" s="667"/>
      <c r="G27" s="665"/>
      <c r="H27" s="671"/>
      <c r="I27" s="665"/>
      <c r="J27" s="665"/>
      <c r="K27" s="667"/>
      <c r="L27" s="667"/>
      <c r="M27" s="667"/>
      <c r="N27" s="673"/>
      <c r="O27" s="667"/>
      <c r="P27" s="667"/>
      <c r="Q27" s="665"/>
      <c r="R27" s="671"/>
      <c r="S27" s="667"/>
      <c r="T27" s="256">
        <v>45079</v>
      </c>
      <c r="U27" s="667"/>
      <c r="V27" s="253">
        <v>11303.4</v>
      </c>
      <c r="W27" s="256">
        <v>45072</v>
      </c>
      <c r="X27" s="254"/>
      <c r="Y27" s="253"/>
      <c r="Z27" s="253"/>
      <c r="AA27" s="667"/>
      <c r="AB27" s="665"/>
      <c r="AC27" s="669"/>
      <c r="AD27" s="2">
        <v>1</v>
      </c>
    </row>
    <row r="28" spans="1:30" s="2" customFormat="1" x14ac:dyDescent="0.3">
      <c r="A28" s="675"/>
      <c r="B28" s="667"/>
      <c r="C28" s="667"/>
      <c r="D28" s="667"/>
      <c r="E28" s="667"/>
      <c r="F28" s="667"/>
      <c r="G28" s="665"/>
      <c r="H28" s="671"/>
      <c r="I28" s="665"/>
      <c r="J28" s="665"/>
      <c r="K28" s="667"/>
      <c r="L28" s="667"/>
      <c r="M28" s="667"/>
      <c r="N28" s="673"/>
      <c r="O28" s="667"/>
      <c r="P28" s="667"/>
      <c r="Q28" s="665"/>
      <c r="R28" s="671"/>
      <c r="S28" s="667"/>
      <c r="T28" s="256">
        <v>45079</v>
      </c>
      <c r="U28" s="667"/>
      <c r="V28" s="253">
        <v>9248.23</v>
      </c>
      <c r="W28" s="256">
        <v>45072</v>
      </c>
      <c r="X28" s="254"/>
      <c r="Y28" s="253"/>
      <c r="Z28" s="253"/>
      <c r="AA28" s="667"/>
      <c r="AB28" s="665"/>
      <c r="AC28" s="669"/>
      <c r="AD28" s="2">
        <v>1</v>
      </c>
    </row>
    <row r="29" spans="1:30" s="2" customFormat="1" x14ac:dyDescent="0.3">
      <c r="A29" s="675"/>
      <c r="B29" s="667"/>
      <c r="C29" s="667"/>
      <c r="D29" s="667"/>
      <c r="E29" s="667"/>
      <c r="F29" s="667"/>
      <c r="G29" s="665"/>
      <c r="H29" s="671"/>
      <c r="I29" s="665"/>
      <c r="J29" s="665"/>
      <c r="K29" s="667"/>
      <c r="L29" s="667"/>
      <c r="M29" s="667"/>
      <c r="N29" s="673"/>
      <c r="O29" s="667"/>
      <c r="P29" s="667"/>
      <c r="Q29" s="665"/>
      <c r="R29" s="671"/>
      <c r="S29" s="667"/>
      <c r="T29" s="256">
        <v>45079</v>
      </c>
      <c r="U29" s="667"/>
      <c r="V29" s="253">
        <v>64116</v>
      </c>
      <c r="W29" s="256">
        <v>45076</v>
      </c>
      <c r="X29" s="254"/>
      <c r="Y29" s="253"/>
      <c r="Z29" s="253"/>
      <c r="AA29" s="667"/>
      <c r="AB29" s="665"/>
      <c r="AC29" s="669"/>
      <c r="AD29" s="2">
        <v>1</v>
      </c>
    </row>
    <row r="30" spans="1:30" s="2" customFormat="1" x14ac:dyDescent="0.3">
      <c r="A30" s="675"/>
      <c r="B30" s="667"/>
      <c r="C30" s="667"/>
      <c r="D30" s="667"/>
      <c r="E30" s="667"/>
      <c r="F30" s="667"/>
      <c r="G30" s="665"/>
      <c r="H30" s="671"/>
      <c r="I30" s="665"/>
      <c r="J30" s="665"/>
      <c r="K30" s="667"/>
      <c r="L30" s="667"/>
      <c r="M30" s="667"/>
      <c r="N30" s="673"/>
      <c r="O30" s="667"/>
      <c r="P30" s="667"/>
      <c r="Q30" s="665"/>
      <c r="R30" s="671"/>
      <c r="S30" s="667"/>
      <c r="T30" s="256">
        <v>45079</v>
      </c>
      <c r="U30" s="667"/>
      <c r="V30" s="253">
        <v>4092.6</v>
      </c>
      <c r="W30" s="256">
        <v>45076</v>
      </c>
      <c r="X30" s="254"/>
      <c r="Y30" s="253"/>
      <c r="Z30" s="253"/>
      <c r="AA30" s="667"/>
      <c r="AB30" s="665"/>
      <c r="AC30" s="669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30"/>
    <mergeCell ref="U9:U30"/>
    <mergeCell ref="O9:O30"/>
    <mergeCell ref="P9:P30"/>
    <mergeCell ref="Q9:Q30"/>
    <mergeCell ref="R9:R30"/>
    <mergeCell ref="S9:S30"/>
    <mergeCell ref="AA9:AA30"/>
    <mergeCell ref="B9:B30"/>
    <mergeCell ref="AB9:AB30"/>
    <mergeCell ref="C9:C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23"/>
  <sheetViews>
    <sheetView showGridLines="0" tabSelected="1" topLeftCell="I1" zoomScale="50" zoomScaleNormal="50" workbookViewId="0">
      <pane ySplit="8" topLeftCell="A10" activePane="bottomLeft" state="frozen"/>
      <selection pane="bottomLeft" activeCell="W14" sqref="W14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80" t="s">
        <v>139</v>
      </c>
      <c r="F2" s="581"/>
      <c r="G2" s="100">
        <f>SUM(G9:G10001)</f>
        <v>742848</v>
      </c>
      <c r="H2" s="15"/>
      <c r="O2" s="580" t="s">
        <v>24</v>
      </c>
      <c r="P2" s="581"/>
      <c r="Q2" s="98">
        <f>SUM(Q9:Q10001)</f>
        <v>683420.16000000003</v>
      </c>
      <c r="T2" s="452" t="s">
        <v>137</v>
      </c>
      <c r="U2" s="454"/>
      <c r="V2" s="87">
        <f>SUM(V9:V10001)</f>
        <v>423626.88</v>
      </c>
      <c r="X2" s="86"/>
      <c r="Y2" s="452" t="s">
        <v>45</v>
      </c>
      <c r="Z2" s="453"/>
      <c r="AA2" s="454"/>
      <c r="AB2" s="88">
        <f>SUM(AB9:AB10001)</f>
        <v>0</v>
      </c>
    </row>
    <row r="4" spans="1:33" ht="39.9" customHeight="1" x14ac:dyDescent="0.3">
      <c r="P4" s="682"/>
      <c r="Q4" s="682"/>
      <c r="R4" s="682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8" customFormat="1" ht="168.75" customHeight="1" x14ac:dyDescent="0.3">
      <c r="A9" s="661">
        <v>1</v>
      </c>
      <c r="B9" s="643"/>
      <c r="C9" s="643" t="s">
        <v>226</v>
      </c>
      <c r="D9" s="643" t="s">
        <v>147</v>
      </c>
      <c r="E9" s="643" t="s">
        <v>228</v>
      </c>
      <c r="F9" s="643" t="s">
        <v>148</v>
      </c>
      <c r="G9" s="640">
        <v>742848</v>
      </c>
      <c r="H9" s="649">
        <f>IF(AD9 = 1, G9 - Q9,0)</f>
        <v>59427.839999999967</v>
      </c>
      <c r="I9" s="640">
        <v>3</v>
      </c>
      <c r="J9" s="640">
        <v>0</v>
      </c>
      <c r="K9" s="643" t="s">
        <v>179</v>
      </c>
      <c r="L9" s="643"/>
      <c r="M9" s="643" t="s">
        <v>227</v>
      </c>
      <c r="N9" s="655">
        <v>44915</v>
      </c>
      <c r="O9" s="676">
        <v>2304067057</v>
      </c>
      <c r="P9" s="643" t="s">
        <v>177</v>
      </c>
      <c r="Q9" s="640">
        <v>683420.16000000003</v>
      </c>
      <c r="R9" s="649">
        <f>IF(AD9 = 1, Q9 + SUM(Y9:Y14) - SUM(Z9:Z14) - SUM(V9:V14) - AB9,0)</f>
        <v>259793.28000000003</v>
      </c>
      <c r="S9" s="652"/>
      <c r="T9" s="311">
        <v>44957</v>
      </c>
      <c r="U9" s="643" t="s">
        <v>181</v>
      </c>
      <c r="V9" s="305">
        <v>72554.880000000005</v>
      </c>
      <c r="W9" s="311">
        <v>44965</v>
      </c>
      <c r="X9" s="306"/>
      <c r="Y9" s="305"/>
      <c r="Z9" s="305"/>
      <c r="AA9" s="643"/>
      <c r="AB9" s="640"/>
      <c r="AC9" s="679"/>
      <c r="AD9" s="108">
        <v>1</v>
      </c>
    </row>
    <row r="10" spans="1:33" s="2" customFormat="1" x14ac:dyDescent="0.3">
      <c r="A10" s="662"/>
      <c r="B10" s="644"/>
      <c r="C10" s="644"/>
      <c r="D10" s="644"/>
      <c r="E10" s="644"/>
      <c r="F10" s="644"/>
      <c r="G10" s="641"/>
      <c r="H10" s="650"/>
      <c r="I10" s="641"/>
      <c r="J10" s="641"/>
      <c r="K10" s="644"/>
      <c r="L10" s="644"/>
      <c r="M10" s="644"/>
      <c r="N10" s="656"/>
      <c r="O10" s="677"/>
      <c r="P10" s="644"/>
      <c r="Q10" s="641"/>
      <c r="R10" s="650"/>
      <c r="S10" s="653"/>
      <c r="T10" s="312">
        <v>44987</v>
      </c>
      <c r="U10" s="644"/>
      <c r="V10" s="307">
        <v>65533.440000000002</v>
      </c>
      <c r="W10" s="312">
        <v>44995</v>
      </c>
      <c r="X10" s="308"/>
      <c r="Y10" s="307"/>
      <c r="Z10" s="307"/>
      <c r="AA10" s="644"/>
      <c r="AB10" s="641"/>
      <c r="AC10" s="680"/>
      <c r="AD10" s="2">
        <v>1</v>
      </c>
    </row>
    <row r="11" spans="1:33" s="2" customFormat="1" x14ac:dyDescent="0.3">
      <c r="A11" s="662"/>
      <c r="B11" s="644"/>
      <c r="C11" s="644"/>
      <c r="D11" s="644"/>
      <c r="E11" s="644"/>
      <c r="F11" s="644"/>
      <c r="G11" s="641"/>
      <c r="H11" s="650"/>
      <c r="I11" s="641"/>
      <c r="J11" s="641"/>
      <c r="K11" s="644"/>
      <c r="L11" s="644"/>
      <c r="M11" s="644"/>
      <c r="N11" s="656"/>
      <c r="O11" s="677"/>
      <c r="P11" s="644"/>
      <c r="Q11" s="641"/>
      <c r="R11" s="650"/>
      <c r="S11" s="653"/>
      <c r="T11" s="312">
        <v>45020</v>
      </c>
      <c r="U11" s="644"/>
      <c r="V11" s="307">
        <v>72554.880000000005</v>
      </c>
      <c r="W11" s="312">
        <v>45022</v>
      </c>
      <c r="X11" s="308"/>
      <c r="Y11" s="307"/>
      <c r="Z11" s="307"/>
      <c r="AA11" s="644"/>
      <c r="AB11" s="641"/>
      <c r="AC11" s="680"/>
      <c r="AD11" s="2">
        <v>1</v>
      </c>
    </row>
    <row r="12" spans="1:33" s="2" customFormat="1" x14ac:dyDescent="0.3">
      <c r="A12" s="662"/>
      <c r="B12" s="644"/>
      <c r="C12" s="644"/>
      <c r="D12" s="644"/>
      <c r="E12" s="644"/>
      <c r="F12" s="644"/>
      <c r="G12" s="641"/>
      <c r="H12" s="650"/>
      <c r="I12" s="641"/>
      <c r="J12" s="641"/>
      <c r="K12" s="644"/>
      <c r="L12" s="644"/>
      <c r="M12" s="644"/>
      <c r="N12" s="656"/>
      <c r="O12" s="677"/>
      <c r="P12" s="644"/>
      <c r="Q12" s="641"/>
      <c r="R12" s="650"/>
      <c r="S12" s="653"/>
      <c r="T12" s="312">
        <v>45049</v>
      </c>
      <c r="U12" s="644"/>
      <c r="V12" s="307">
        <v>70214.399999999994</v>
      </c>
      <c r="W12" s="312">
        <v>45051</v>
      </c>
      <c r="X12" s="308"/>
      <c r="Y12" s="307"/>
      <c r="Z12" s="307"/>
      <c r="AA12" s="644"/>
      <c r="AB12" s="641"/>
      <c r="AC12" s="680"/>
      <c r="AD12" s="2">
        <v>1</v>
      </c>
    </row>
    <row r="13" spans="1:33" s="2" customFormat="1" x14ac:dyDescent="0.3">
      <c r="A13" s="662"/>
      <c r="B13" s="644"/>
      <c r="C13" s="644"/>
      <c r="D13" s="644"/>
      <c r="E13" s="644"/>
      <c r="F13" s="644"/>
      <c r="G13" s="641"/>
      <c r="H13" s="650"/>
      <c r="I13" s="641"/>
      <c r="J13" s="641"/>
      <c r="K13" s="644"/>
      <c r="L13" s="644"/>
      <c r="M13" s="644"/>
      <c r="N13" s="656"/>
      <c r="O13" s="677"/>
      <c r="P13" s="644"/>
      <c r="Q13" s="641"/>
      <c r="R13" s="650"/>
      <c r="S13" s="653"/>
      <c r="T13" s="312">
        <v>45110</v>
      </c>
      <c r="U13" s="644"/>
      <c r="V13" s="307">
        <v>70214.399999999994</v>
      </c>
      <c r="W13" s="312">
        <v>45113</v>
      </c>
      <c r="X13" s="308"/>
      <c r="Y13" s="307"/>
      <c r="Z13" s="307"/>
      <c r="AA13" s="644"/>
      <c r="AB13" s="641"/>
      <c r="AC13" s="680"/>
      <c r="AD13" s="2">
        <v>1</v>
      </c>
    </row>
    <row r="14" spans="1:33" s="2" customFormat="1" x14ac:dyDescent="0.3">
      <c r="A14" s="663"/>
      <c r="B14" s="645"/>
      <c r="C14" s="645"/>
      <c r="D14" s="645"/>
      <c r="E14" s="645"/>
      <c r="F14" s="645"/>
      <c r="G14" s="642"/>
      <c r="H14" s="651"/>
      <c r="I14" s="642"/>
      <c r="J14" s="642"/>
      <c r="K14" s="645"/>
      <c r="L14" s="645"/>
      <c r="M14" s="645"/>
      <c r="N14" s="657"/>
      <c r="O14" s="678"/>
      <c r="P14" s="645"/>
      <c r="Q14" s="642"/>
      <c r="R14" s="651"/>
      <c r="S14" s="654"/>
      <c r="T14" s="313">
        <v>45082</v>
      </c>
      <c r="U14" s="645"/>
      <c r="V14" s="309">
        <v>72554.880000000005</v>
      </c>
      <c r="W14" s="313">
        <v>45082</v>
      </c>
      <c r="X14" s="310"/>
      <c r="Y14" s="309"/>
      <c r="Z14" s="309"/>
      <c r="AA14" s="645"/>
      <c r="AB14" s="642"/>
      <c r="AC14" s="681"/>
      <c r="AD14" s="2">
        <v>1</v>
      </c>
    </row>
    <row r="15" spans="1:33" hidden="1" x14ac:dyDescent="0.3">
      <c r="M15" s="3"/>
      <c r="AD15" s="8">
        <v>2</v>
      </c>
    </row>
    <row r="16" spans="1:33" hidden="1" x14ac:dyDescent="0.3">
      <c r="M16" s="3"/>
    </row>
    <row r="17" spans="13:13" hidden="1" x14ac:dyDescent="0.3">
      <c r="M17" s="3"/>
    </row>
    <row r="18" spans="13:13" hidden="1" x14ac:dyDescent="0.3">
      <c r="M18" s="3"/>
    </row>
    <row r="19" spans="13:13" hidden="1" x14ac:dyDescent="0.3">
      <c r="M19" s="3"/>
    </row>
    <row r="20" spans="13:13" hidden="1" x14ac:dyDescent="0.3">
      <c r="M20" s="3"/>
    </row>
    <row r="21" spans="13:13" hidden="1" x14ac:dyDescent="0.3">
      <c r="M21" s="3"/>
    </row>
    <row r="22" spans="13:13" hidden="1" x14ac:dyDescent="0.3">
      <c r="M22" s="3"/>
    </row>
    <row r="23" spans="13:13" hidden="1" x14ac:dyDescent="0.3">
      <c r="M23" s="3"/>
    </row>
  </sheetData>
  <sheetProtection password="EB34" sheet="1" objects="1" scenarios="1" formatCells="0" formatColumns="0" formatRows="0"/>
  <mergeCells count="28">
    <mergeCell ref="Y2:AA2"/>
    <mergeCell ref="T2:U2"/>
    <mergeCell ref="A9:A14"/>
    <mergeCell ref="U9:U14"/>
    <mergeCell ref="P4:R4"/>
    <mergeCell ref="E2:F2"/>
    <mergeCell ref="O2:P2"/>
    <mergeCell ref="AA9:AA14"/>
    <mergeCell ref="B9:B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Q9:Q14"/>
    <mergeCell ref="R9:R14"/>
    <mergeCell ref="S9:S1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96</v>
      </c>
      <c r="B1" s="65">
        <v>40</v>
      </c>
      <c r="C1" s="65">
        <v>9</v>
      </c>
      <c r="D1" s="685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686"/>
      <c r="E2" s="48"/>
      <c r="F2" s="80">
        <v>60</v>
      </c>
      <c r="G2" s="84">
        <v>52</v>
      </c>
      <c r="H2" s="83">
        <v>3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129</v>
      </c>
      <c r="B4" s="62">
        <v>34</v>
      </c>
      <c r="C4" s="62">
        <v>9</v>
      </c>
      <c r="D4" s="687" t="s">
        <v>102</v>
      </c>
      <c r="E4" s="48"/>
      <c r="F4" s="80">
        <v>61</v>
      </c>
      <c r="G4" s="84">
        <v>53</v>
      </c>
      <c r="H4" s="83">
        <v>4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688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17</v>
      </c>
      <c r="B7" s="64">
        <v>3</v>
      </c>
      <c r="C7" s="64">
        <v>9</v>
      </c>
      <c r="D7" s="689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690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12</v>
      </c>
      <c r="B10" s="60">
        <v>1</v>
      </c>
      <c r="C10" s="60">
        <v>9</v>
      </c>
      <c r="D10" s="691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692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693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694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14</v>
      </c>
      <c r="B16" s="56">
        <v>1</v>
      </c>
      <c r="C16" s="56">
        <v>9</v>
      </c>
      <c r="D16" s="683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684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2023-08-07T04:39:13Z</dcterms:modified>
</cp:coreProperties>
</file>