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workbookProtection workbookPassword="EB34" lockStructure="1"/>
  <bookViews>
    <workbookView xWindow="0" yWindow="0" windowWidth="23040" windowHeight="8616" tabRatio="603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H5" i="21" l="1"/>
  <c r="M5" i="21"/>
  <c r="H2" i="27"/>
  <c r="P2" i="27"/>
  <c r="V2" i="27"/>
  <c r="I88" i="31"/>
  <c r="H2" i="31"/>
  <c r="P2" i="31"/>
  <c r="V2" i="31"/>
  <c r="G2" i="19"/>
  <c r="N2" i="19"/>
  <c r="T2" i="19"/>
  <c r="G2" i="22"/>
  <c r="Q2" i="22"/>
  <c r="V2" i="22"/>
  <c r="AB2" i="22"/>
  <c r="G2" i="17"/>
  <c r="Q2" i="17"/>
  <c r="V2" i="17"/>
  <c r="AB2" i="17"/>
  <c r="I98" i="31"/>
  <c r="I33" i="27"/>
  <c r="I73" i="31"/>
  <c r="I42" i="31"/>
  <c r="I67" i="31"/>
  <c r="I79" i="31"/>
  <c r="H9" i="22"/>
  <c r="R9" i="22"/>
  <c r="H9" i="17"/>
  <c r="R9" i="17"/>
  <c r="I12" i="27"/>
  <c r="I11" i="31"/>
  <c r="I15" i="31"/>
  <c r="I9" i="27"/>
  <c r="I25" i="31"/>
  <c r="I39" i="31"/>
  <c r="I37" i="27" l="1"/>
  <c r="I36" i="27"/>
  <c r="I35" i="27" l="1"/>
  <c r="I32" i="27"/>
  <c r="I97" i="31"/>
  <c r="I96" i="31"/>
  <c r="I95" i="31"/>
  <c r="I31" i="27"/>
  <c r="G2" i="20" l="1"/>
  <c r="Q2" i="20"/>
  <c r="V2" i="20"/>
  <c r="AB2" i="20"/>
  <c r="I94" i="31" l="1"/>
  <c r="I30" i="27" l="1"/>
  <c r="I93" i="31" l="1"/>
  <c r="I92" i="31"/>
  <c r="I29" i="27"/>
  <c r="I28" i="27"/>
  <c r="I91" i="31"/>
  <c r="H12" i="19"/>
  <c r="I27" i="27"/>
  <c r="I26" i="27"/>
  <c r="I25" i="27"/>
  <c r="I9" i="31" l="1"/>
  <c r="I87" i="31" l="1"/>
  <c r="I86" i="31" l="1"/>
  <c r="I24" i="27"/>
  <c r="I23" i="27"/>
  <c r="I22" i="27"/>
  <c r="I21" i="27"/>
  <c r="I85" i="31" l="1"/>
  <c r="I20" i="27"/>
  <c r="I19" i="27"/>
  <c r="I18" i="27"/>
  <c r="I17" i="27"/>
  <c r="I16" i="27"/>
  <c r="I38" i="31"/>
  <c r="I33" i="31"/>
  <c r="I28" i="31"/>
  <c r="H9" i="19" l="1"/>
  <c r="D13" i="21" l="1"/>
  <c r="R8" i="20" l="1"/>
  <c r="H8" i="20"/>
  <c r="R8" i="22"/>
  <c r="H8" i="22"/>
  <c r="I8" i="27" l="1"/>
  <c r="J9" i="21" l="1"/>
  <c r="J13" i="21"/>
  <c r="G13" i="21" l="1"/>
  <c r="J14" i="21"/>
  <c r="D14" i="21"/>
  <c r="D12" i="21"/>
  <c r="J12" i="21"/>
  <c r="D19" i="21"/>
  <c r="G14" i="21" l="1"/>
  <c r="M14" i="21" s="1"/>
  <c r="G12" i="21"/>
  <c r="M13" i="21"/>
  <c r="J11" i="21"/>
  <c r="J10" i="21"/>
  <c r="J15" i="21" l="1"/>
  <c r="D10" i="21"/>
  <c r="R8" i="17" l="1"/>
  <c r="H8" i="17"/>
  <c r="D9" i="21" l="1"/>
  <c r="J17" i="21" s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<sst xmlns="http://schemas.openxmlformats.org/spreadsheetml/2006/main" count="849" uniqueCount="280">
  <si>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</si>
  <si>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</si>
  <si>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</si>
  <si>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</si>
  <si>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</si>
  <si>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</si>
  <si>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</si>
  <si>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</si>
  <si>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</si>
  <si>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</si>
  <si>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</si>
  <si>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</si>
  <si>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</si>
  <si>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</si>
  <si>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</si>
  <si>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</si>
  <si>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</si>
  <si>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</si>
  <si>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</si>
  <si>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</si>
  <si>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</si>
  <si>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</si>
  <si>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</si>
  <si>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</si>
  <si>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</si>
  <si>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</si>
  <si>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</si>
  <si>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</si>
  <si>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</si>
  <si>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</si>
  <si>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</si>
  <si>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</si>
  <si>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</si>
  <si>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</si>
  <si>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</si>
  <si>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</si>
  <si>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</si>
  <si>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</si>
  <si>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</si>
  <si>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</si>
  <si>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</si>
  <si>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</si>
  <si>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</si>
  <si>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</si>
  <si>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</si>
  <si>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</si>
  <si>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</si>
  <si>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</si>
  <si>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</si>
  <si>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</si>
  <si>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</si>
  <si>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</si>
  <si>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</si>
  <si>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</si>
  <si>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</si>
  <si>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</si>
  <si>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</si>
  <si>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</si>
  <si>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</si>
  <si>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</si>
  <si>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</si>
  <si>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</si>
  <si>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</si>
  <si>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</si>
  <si>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</si>
  <si>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</si>
  <si>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</si>
  <si>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</si>
  <si>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</si>
  <si>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</si>
  <si>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</si>
  <si>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</si>
  <si>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</si>
  <si>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</si>
  <si>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</si>
  <si>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</si>
  <si>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</si>
  <si>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</si>
  <si>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</si>
  <si>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</si>
  <si>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</si>
  <si>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</si>
  <si>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</si>
  <si>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</si>
  <si>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</si>
  <si>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</si>
  <si>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</si>
  <si>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</si>
  <si>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</si>
  <si>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</si>
  <si>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</si>
  <si>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</si>
  <si>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</si>
  <si>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</si>
  <si>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</si>
  <si>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</si>
  <si>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</si>
  <si>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</si>
  <si>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</si>
  <si>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</si>
  <si>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</si>
  <si>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</si>
  <si>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</si>
  <si>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</si>
  <si>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</si>
  <si>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</si>
  <si>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</si>
  <si>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</si>
  <si>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</si>
  <si>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</si>
  <si>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</si>
  <si>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</si>
  <si>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</si>
  <si>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</si>
  <si>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</si>
  <si>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</si>
  <si>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</si>
  <si>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</si>
  <si>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</si>
  <si>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</si>
  <si>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</si>
  <si>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</si>
  <si>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</si>
  <si>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</si>
  <si>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</si>
  <si>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</si>
  <si>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</si>
  <si>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</si>
  <si>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</si>
  <si>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</si>
  <si>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</si>
  <si>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</si>
  <si>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</si>
  <si>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</si>
  <si>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</si>
  <si>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</si>
  <si>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</si>
  <si>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</si>
  <si>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</si>
  <si>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</si>
  <si>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</si>
  <si>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</si>
  <si>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</si>
  <si>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</si>
  <si>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</si>
  <si>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</si>
  <si>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</si>
  <si>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</si>
  <si>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</si>
  <si>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</si>
  <si>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</si>
  <si>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</si>
  <si>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</si>
  <si>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</si>
  <si>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</si>
  <si>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</si>
  <si>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</si>
  <si>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</si>
  <si>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ИП Дудкин</t>
  </si>
  <si>
    <t>235305769122</t>
  </si>
  <si>
    <t>ИП Барма</t>
  </si>
  <si>
    <t>ПАО "Ростелеком"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</si>
  <si>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</si>
  <si>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</si>
  <si>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</si>
  <si>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</si>
  <si>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</si>
  <si>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</si>
  <si>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</si>
  <si>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</si>
  <si>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</si>
  <si>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</si>
  <si>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23070500203</t>
  </si>
  <si>
    <t>20456/ТМ</t>
  </si>
  <si>
    <t>Централизованная охрана объекта (ктс)</t>
  </si>
  <si>
    <t>2310163739</t>
  </si>
  <si>
    <t>ФГКУ "УВО ВНГ России по Краснодарскому краю" ОВО по Тимашевскому району</t>
  </si>
  <si>
    <t>925 0000 0000000000244</t>
  </si>
  <si>
    <t>925  0000 0000000000 244</t>
  </si>
  <si>
    <t>Оказание услуг связи</t>
  </si>
  <si>
    <t>7707049388</t>
  </si>
  <si>
    <t>поставка товара</t>
  </si>
  <si>
    <t>23 32353014097235301001 0016 001 5629 244</t>
  </si>
  <si>
    <t>0818300019923000370</t>
  </si>
  <si>
    <t>Оказание услуг питания детей</t>
  </si>
  <si>
    <t>32353014097 23 000006</t>
  </si>
  <si>
    <t>2353020735</t>
  </si>
  <si>
    <t>ООО "Тимашевское ПРТ райпо"</t>
  </si>
  <si>
    <t>23 32353014097235301001 0017 002 8010 244</t>
  </si>
  <si>
    <t>0818300019923000374</t>
  </si>
  <si>
    <t>Услуги частной охраны (Выставление поста охраны)</t>
  </si>
  <si>
    <t>3235301409723000007</t>
  </si>
  <si>
    <t>Общество с ограниченной ответственностью Частная охранная организация "Легион"</t>
  </si>
  <si>
    <t>ООО "КТК"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</si>
  <si>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</si>
  <si>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ДГ24/68</t>
  </si>
  <si>
    <t>сопровождение системы ГЛОНАСС</t>
  </si>
  <si>
    <t>сервисное обслуживание теплосчетчиков</t>
  </si>
  <si>
    <t>то систем АПС</t>
  </si>
  <si>
    <t>ИП Даценко</t>
  </si>
  <si>
    <t>Стрелец-мониторинг</t>
  </si>
  <si>
    <t>оказание услуг по организации питания инвалидов, ОВЗ</t>
  </si>
  <si>
    <t>оказание услуг по организации питания 9/10,40</t>
  </si>
  <si>
    <t>33/24</t>
  </si>
  <si>
    <t>Предоставление охраняемой автостоянки, предрейсовому и послерейсовому то автотранспортв и медицинскому освидетельствованию водителей.</t>
  </si>
  <si>
    <t>оказание услуг по организации горячегопитания СВО</t>
  </si>
  <si>
    <t>23-01/2024-1</t>
  </si>
  <si>
    <t>ремонт автобуса</t>
  </si>
  <si>
    <t>235303782209</t>
  </si>
  <si>
    <t>ИП Пастухов</t>
  </si>
  <si>
    <t>шиномонтаж</t>
  </si>
  <si>
    <t>25-01/2024</t>
  </si>
  <si>
    <t>заправка картриджа и ремонт оргтехники</t>
  </si>
  <si>
    <t>231107998282</t>
  </si>
  <si>
    <t>23303348389</t>
  </si>
  <si>
    <t>ИП Тарануха</t>
  </si>
  <si>
    <t>Ремонт автобуса</t>
  </si>
  <si>
    <t>Образовательные услуги</t>
  </si>
  <si>
    <t>2310980339</t>
  </si>
  <si>
    <t>НЧОУ ДПО "Учебный центр "Персонал-Ресурс"</t>
  </si>
  <si>
    <t>925 0000 00000000000 244</t>
  </si>
  <si>
    <t>2024.065486</t>
  </si>
  <si>
    <t>ДГ24/238</t>
  </si>
  <si>
    <t>техническое сопровождение транспортного средства</t>
  </si>
  <si>
    <t>2369000660</t>
  </si>
  <si>
    <t>Поставка бензина АИ-92</t>
  </si>
  <si>
    <t>ООО "Альянс Розница"</t>
  </si>
  <si>
    <t>9/24</t>
  </si>
  <si>
    <t>дезинфекция</t>
  </si>
  <si>
    <t>ООО "Дезинфекция"</t>
  </si>
  <si>
    <t>80/24</t>
  </si>
  <si>
    <t>Услуги по идентификации АСН в ГАИС "ЭРА-ГЛОНАСС"</t>
  </si>
  <si>
    <t>7703383783</t>
  </si>
  <si>
    <t>АО "ГЛОНАСС"</t>
  </si>
  <si>
    <t>В течение7 рабочих дней с момента подписания Заказчиком и Подрадчиком акта приема-сдачи и предоставленного Подрядчиком документа на оплату</t>
  </si>
  <si>
    <t>2024.075027</t>
  </si>
  <si>
    <t>Панель светодиодная универсальная</t>
  </si>
  <si>
    <t>235002152355</t>
  </si>
  <si>
    <t>ИП Латышев</t>
  </si>
  <si>
    <t>А0099351</t>
  </si>
  <si>
    <t>Поставка учебной литературы</t>
  </si>
  <si>
    <t>АО "Издательство "Просвещение"</t>
  </si>
  <si>
    <t>до 30 июля 2024</t>
  </si>
  <si>
    <t>Поставка товара</t>
  </si>
  <si>
    <t>32</t>
  </si>
  <si>
    <t>2353018870</t>
  </si>
  <si>
    <t>оказание услуг по ремонту блока питания ПАК "Стрелец-Мониторинг"</t>
  </si>
  <si>
    <t>Дезинфекция лагерь</t>
  </si>
  <si>
    <t>6-24-2</t>
  </si>
  <si>
    <t>63-ЭО</t>
  </si>
  <si>
    <t>Отчетность по экологии</t>
  </si>
  <si>
    <t>235306110100</t>
  </si>
  <si>
    <t>ИП Казерова</t>
  </si>
  <si>
    <t>А0119133</t>
  </si>
  <si>
    <t>А0119134</t>
  </si>
  <si>
    <t>до 30.07.2024</t>
  </si>
  <si>
    <t>ООО "СпецБланк-Москва"</t>
  </si>
  <si>
    <t>7706526550</t>
  </si>
  <si>
    <t>аттестаты</t>
  </si>
  <si>
    <t>23-11470</t>
  </si>
  <si>
    <t>ИП Аполонов</t>
  </si>
  <si>
    <t>МБОУ СОШ № 6</t>
  </si>
  <si>
    <t>Поставка учебно-педагогической документации</t>
  </si>
  <si>
    <t>2310132554</t>
  </si>
  <si>
    <t>ООО "Краснодарский учколлектор"</t>
  </si>
  <si>
    <t>оказание услуг по организации питания учащихся</t>
  </si>
  <si>
    <t>К108911/24</t>
  </si>
  <si>
    <t>Предоставление права использования и абонентское обслуживание Системы "Контур.Экстерн"</t>
  </si>
  <si>
    <t>6663003127</t>
  </si>
  <si>
    <t>АО "ПФ "СКБ Контур"</t>
  </si>
  <si>
    <t>06/ПДУ/СМЭВ/5808</t>
  </si>
  <si>
    <t>Передача неисключительного права ПО</t>
  </si>
  <si>
    <t>2308065195</t>
  </si>
  <si>
    <t>ГУП КК "ЦИТ"</t>
  </si>
  <si>
    <t xml:space="preserve">30 % предоплата в течение 7 рабочих дней с даты выставления счета, 70 % в течение 7 рабочих дней с даты подписания акта. </t>
  </si>
  <si>
    <t>Предоставление сертификата</t>
  </si>
  <si>
    <t>06/СМЭВ/5807</t>
  </si>
  <si>
    <t>22-04/2024-1</t>
  </si>
  <si>
    <t>16-04/2024</t>
  </si>
  <si>
    <t>1 от 05.04.2024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</si>
</sst>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47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0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center" vertical="center" wrapText="1"/>
    </xf>
    <xf numFmtId="0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51" xfId="0" applyNumberFormat="1" applyFont="1" applyFill="1" applyBorder="1" applyAlignment="1">
      <alignment horizontal="center" vertical="center" wrapText="1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4" fontId="1" fillId="18" borderId="52" xfId="0" applyNumberFormat="1" applyFont="1" applyFill="1" applyBorder="1" applyAlignment="1">
      <alignment horizontal="center" vertical="center" wrapText="1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5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4" fontId="1" fillId="18" borderId="40" xfId="0" applyNumberFormat="1" applyFont="1" applyFill="1" applyBorder="1" applyAlignment="1">
      <alignment horizontal="center" vertical="center" wrapText="1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1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46" xfId="0" applyFont="1" applyBorder="1" applyAlignment="1" applyProtection="1">
      <alignment vertical="center"/>
      <protection locked="0"/>
    </xf>
    <xf numFmtId="0" fontId="16" fillId="0" borderId="49" xfId="0" applyFont="1" applyBorder="1" applyAlignment="1" applyProtection="1">
      <alignment vertical="center"/>
      <protection locked="0"/>
    </xf>
    <xf numFmtId="0" fontId="16" fillId="0" borderId="52" xfId="0" applyFont="1" applyBorder="1" applyAlignment="1" applyProtection="1">
      <alignment vertical="center"/>
      <protection locked="0"/>
    </xf>
    <xf numFmtId="0" fontId="17" fillId="4" borderId="46" xfId="0" applyFont="1" applyFill="1" applyBorder="1" applyAlignment="1" applyProtection="1">
      <alignment vertical="center" wrapText="1"/>
      <protection locked="0"/>
    </xf>
    <xf numFmtId="0" fontId="17" fillId="4" borderId="49" xfId="0" applyFont="1" applyFill="1" applyBorder="1" applyAlignment="1" applyProtection="1">
      <alignment vertical="center" wrapText="1"/>
      <protection locked="0"/>
    </xf>
    <xf numFmtId="0" fontId="17" fillId="4" borderId="5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/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/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3</xdr:row>
      <xdr:rowOff>504000</xdr:rowOff>
    </xdr:to>
    <xdr:sp macro="[0]!УдалитьСтрокуП4" textlink="">
      <xdr:nvSpPr>
        <xdr:cNvPr id="5" name="Скругленный прямоугольник 4"/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4</xdr:row>
      <xdr:rowOff>657</xdr:rowOff>
    </xdr:to>
    <xdr:sp macro="[0]!УдалитьСтрокуП5" textlink="">
      <xdr:nvSpPr>
        <xdr:cNvPr id="3" name="Скругленный прямоугольник 2"/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/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4</xdr:row>
      <xdr:rowOff>792</xdr:rowOff>
    </xdr:to>
    <xdr:sp macro="[0]!ДобавитьППАктП5" textlink="">
      <xdr:nvSpPr>
        <xdr:cNvPr id="5" name="Скругленный прямоугольник 4"/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/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/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/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/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/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/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/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/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/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/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/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/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zoomScale="70" zoomScaleNormal="70" workbookViewId="0">
      <selection activeCell="H6" sqref="H6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290" t="s">
        <v>141</v>
      </c>
      <c r="B1" s="291"/>
      <c r="C1" s="291"/>
      <c r="D1" s="291"/>
      <c r="E1" s="290" t="s">
        <v>261</v>
      </c>
      <c r="F1" s="291"/>
      <c r="G1" s="291"/>
      <c r="H1" s="291"/>
      <c r="I1" s="291"/>
      <c r="J1" s="291"/>
      <c r="K1" s="291"/>
      <c r="L1" s="291"/>
      <c r="M1" s="291"/>
      <c r="N1" s="292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266" t="s">
        <v>25</v>
      </c>
      <c r="B4" s="267"/>
      <c r="C4" s="4">
        <v>11911786.369999999</v>
      </c>
      <c r="D4" s="5"/>
      <c r="E4" s="268" t="s">
        <v>140</v>
      </c>
      <c r="F4" s="269"/>
      <c r="G4" s="270"/>
      <c r="H4" s="271">
        <v>2000000</v>
      </c>
      <c r="I4" s="272"/>
      <c r="J4" s="273"/>
      <c r="K4" s="22"/>
      <c r="L4" s="99" t="s">
        <v>55</v>
      </c>
      <c r="M4" s="268">
        <v>5730375.2699999996</v>
      </c>
      <c r="N4" s="270"/>
    </row>
    <row r="5" spans="1:14" ht="30.75" customHeight="1" thickBot="1" x14ac:dyDescent="0.35">
      <c r="A5" s="266" t="s">
        <v>26</v>
      </c>
      <c r="B5" s="267"/>
      <c r="C5" s="6">
        <f>C4-G15+J15</f>
        <v>5748176.2799999993</v>
      </c>
      <c r="D5" s="5"/>
      <c r="E5" s="268" t="s">
        <v>53</v>
      </c>
      <c r="F5" s="269"/>
      <c r="G5" s="270"/>
      <c r="H5" s="258">
        <f>H4-G12+J12</f>
        <v>1801487.74</v>
      </c>
      <c r="I5" s="259"/>
      <c r="J5" s="260"/>
      <c r="K5" s="22"/>
      <c r="L5" s="99" t="s">
        <v>54</v>
      </c>
      <c r="M5" s="261">
        <f>M4-G13+J13</f>
        <v>3119575.7499999995</v>
      </c>
      <c r="N5" s="262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274" t="s">
        <v>27</v>
      </c>
      <c r="B8" s="275"/>
      <c r="C8" s="276"/>
      <c r="D8" s="274" t="s">
        <v>28</v>
      </c>
      <c r="E8" s="275"/>
      <c r="F8" s="276"/>
      <c r="G8" s="277" t="s">
        <v>29</v>
      </c>
      <c r="H8" s="278"/>
      <c r="I8" s="279"/>
      <c r="J8" s="277" t="s">
        <v>142</v>
      </c>
      <c r="K8" s="278"/>
      <c r="L8" s="279"/>
      <c r="M8" s="274" t="s">
        <v>30</v>
      </c>
      <c r="N8" s="276"/>
    </row>
    <row r="9" spans="1:14" ht="41.25" customHeight="1" thickBot="1" x14ac:dyDescent="0.35">
      <c r="A9" s="280" t="s">
        <v>31</v>
      </c>
      <c r="B9" s="281"/>
      <c r="C9" s="282"/>
      <c r="D9" s="283">
        <f>'Состоявшиеся аукционы'!G2</f>
        <v>740465.76</v>
      </c>
      <c r="E9" s="283"/>
      <c r="F9" s="283"/>
      <c r="G9" s="283">
        <f>'Состоявшиеся аукционы'!Q2</f>
        <v>392446.84</v>
      </c>
      <c r="H9" s="283"/>
      <c r="I9" s="283"/>
      <c r="J9" s="263">
        <f>'Состоявшиеся аукционы'!AB2</f>
        <v>0</v>
      </c>
      <c r="K9" s="265"/>
      <c r="L9" s="264"/>
      <c r="M9" s="283">
        <f t="shared" ref="M9:M15" si="0">D9-G9</f>
        <v>348018.92</v>
      </c>
      <c r="N9" s="283"/>
    </row>
    <row r="10" spans="1:14" ht="78.75" customHeight="1" thickBot="1" x14ac:dyDescent="0.35">
      <c r="A10" s="280" t="s">
        <v>49</v>
      </c>
      <c r="B10" s="281"/>
      <c r="C10" s="282"/>
      <c r="D10" s="283">
        <f>'Несостоявшиеся аукционы'!G2</f>
        <v>667469.44999999995</v>
      </c>
      <c r="E10" s="283"/>
      <c r="F10" s="283"/>
      <c r="G10" s="283">
        <f>'Несостоявшиеся аукционы'!Q2</f>
        <v>667469.44999999995</v>
      </c>
      <c r="H10" s="283"/>
      <c r="I10" s="283"/>
      <c r="J10" s="263">
        <f>'Несостоявшиеся аукционы'!AB2</f>
        <v>12154.83</v>
      </c>
      <c r="K10" s="265"/>
      <c r="L10" s="264"/>
      <c r="M10" s="283">
        <f t="shared" si="0"/>
        <v>0</v>
      </c>
      <c r="N10" s="283"/>
    </row>
    <row r="11" spans="1:14" ht="40.5" customHeight="1" thickBot="1" x14ac:dyDescent="0.35">
      <c r="A11" s="280" t="s">
        <v>83</v>
      </c>
      <c r="B11" s="281"/>
      <c r="C11" s="282"/>
      <c r="D11" s="263">
        <f>'Иные конкурентные закупки'!G2</f>
        <v>0</v>
      </c>
      <c r="E11" s="265"/>
      <c r="F11" s="264"/>
      <c r="G11" s="263">
        <f>'Иные конкурентные закупки'!Q2</f>
        <v>0</v>
      </c>
      <c r="H11" s="265"/>
      <c r="I11" s="264"/>
      <c r="J11" s="263">
        <f>'Иные конкурентные закупки'!AB2</f>
        <v>0</v>
      </c>
      <c r="K11" s="265"/>
      <c r="L11" s="264"/>
      <c r="M11" s="263">
        <f t="shared" si="0"/>
        <v>0</v>
      </c>
      <c r="N11" s="264"/>
    </row>
    <row r="12" spans="1:14" ht="54.75" customHeight="1" thickBot="1" x14ac:dyDescent="0.35">
      <c r="A12" s="287" t="s">
        <v>50</v>
      </c>
      <c r="B12" s="288"/>
      <c r="C12" s="289"/>
      <c r="D12" s="283">
        <f>'Ед. поставщик п.4 ч.1'!H2</f>
        <v>198512.26000000004</v>
      </c>
      <c r="E12" s="283"/>
      <c r="F12" s="283"/>
      <c r="G12" s="283">
        <f>D12</f>
        <v>198512.26000000004</v>
      </c>
      <c r="H12" s="283"/>
      <c r="I12" s="283"/>
      <c r="J12" s="263">
        <f>'Ед. поставщик п.4 ч.1'!V2</f>
        <v>0</v>
      </c>
      <c r="K12" s="265"/>
      <c r="L12" s="264"/>
      <c r="M12" s="283">
        <f t="shared" si="0"/>
        <v>0</v>
      </c>
      <c r="N12" s="283"/>
    </row>
    <row r="13" spans="1:14" ht="45.75" customHeight="1" thickBot="1" x14ac:dyDescent="0.35">
      <c r="A13" s="287" t="s">
        <v>51</v>
      </c>
      <c r="B13" s="288"/>
      <c r="C13" s="289"/>
      <c r="D13" s="283">
        <f>'Ед. поставщик п.5 ч.1'!H2</f>
        <v>2850857.72</v>
      </c>
      <c r="E13" s="283"/>
      <c r="F13" s="283"/>
      <c r="G13" s="283">
        <f>D13</f>
        <v>2850857.72</v>
      </c>
      <c r="H13" s="283"/>
      <c r="I13" s="283"/>
      <c r="J13" s="263">
        <f>'Ед. поставщик п.5 ч.1'!V2</f>
        <v>240058.2</v>
      </c>
      <c r="K13" s="265"/>
      <c r="L13" s="264"/>
      <c r="M13" s="283">
        <f t="shared" si="0"/>
        <v>0</v>
      </c>
      <c r="N13" s="283"/>
    </row>
    <row r="14" spans="1:14" ht="45.75" customHeight="1" thickBot="1" x14ac:dyDescent="0.35">
      <c r="A14" s="305" t="s">
        <v>52</v>
      </c>
      <c r="B14" s="306"/>
      <c r="C14" s="307"/>
      <c r="D14" s="263">
        <f>'Ед.поставщик за искл. п.4,5 ч.1'!G2</f>
        <v>2306536.8499999996</v>
      </c>
      <c r="E14" s="265"/>
      <c r="F14" s="264"/>
      <c r="G14" s="263">
        <f>D14</f>
        <v>2306536.8499999996</v>
      </c>
      <c r="H14" s="265"/>
      <c r="I14" s="264"/>
      <c r="J14" s="263">
        <f>'Ед.поставщик за искл. п.4,5 ч.1'!T2</f>
        <v>0</v>
      </c>
      <c r="K14" s="265"/>
      <c r="L14" s="264"/>
      <c r="M14" s="283">
        <f t="shared" si="0"/>
        <v>0</v>
      </c>
      <c r="N14" s="283"/>
    </row>
    <row r="15" spans="1:14" ht="21.6" thickBot="1" x14ac:dyDescent="0.35">
      <c r="A15" s="284" t="s">
        <v>143</v>
      </c>
      <c r="B15" s="285"/>
      <c r="C15" s="286"/>
      <c r="D15" s="283">
        <f>SUM(D9:D14)</f>
        <v>6763842.04</v>
      </c>
      <c r="E15" s="283"/>
      <c r="F15" s="283"/>
      <c r="G15" s="263">
        <f>SUM(G9:G14)</f>
        <v>6415823.1200000001</v>
      </c>
      <c r="H15" s="265"/>
      <c r="I15" s="264"/>
      <c r="J15" s="263">
        <f>SUM(J9:J14)</f>
        <v>252213.03</v>
      </c>
      <c r="K15" s="265"/>
      <c r="L15" s="264"/>
      <c r="M15" s="283">
        <f t="shared" si="0"/>
        <v>348018.91999999993</v>
      </c>
      <c r="N15" s="283"/>
    </row>
    <row r="17" spans="1:12" x14ac:dyDescent="0.3">
      <c r="J17" s="159">
        <f>C4-D9-D10-D14</f>
        <v>8197314.3100000005</v>
      </c>
      <c r="K17" s="159"/>
      <c r="L17" s="159"/>
    </row>
    <row r="18" spans="1:12" ht="15" thickBot="1" x14ac:dyDescent="0.35">
      <c r="K18" s="159"/>
    </row>
    <row r="19" spans="1:12" ht="23.25" customHeight="1" x14ac:dyDescent="0.3">
      <c r="A19" s="293" t="s">
        <v>35</v>
      </c>
      <c r="B19" s="294"/>
      <c r="C19" s="295"/>
      <c r="D19" s="299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2721586.24</v>
      </c>
      <c r="E19" s="300"/>
      <c r="F19" s="300"/>
      <c r="G19" s="301"/>
      <c r="I19" s="20"/>
      <c r="J19" s="20"/>
      <c r="K19" s="20"/>
      <c r="L19" s="20"/>
    </row>
    <row r="20" spans="1:12" ht="24" customHeight="1" thickBot="1" x14ac:dyDescent="0.35">
      <c r="A20" s="296"/>
      <c r="B20" s="297"/>
      <c r="C20" s="298"/>
      <c r="D20" s="302"/>
      <c r="E20" s="303"/>
      <c r="F20" s="303"/>
      <c r="G20" s="304"/>
      <c r="I20" s="20"/>
      <c r="J20" s="20"/>
      <c r="K20" s="20"/>
      <c r="L20" s="20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43"/>
  <sheetViews>
    <sheetView showGridLines="0" topLeftCell="H1" zoomScale="60" zoomScaleNormal="60" workbookViewId="0">
      <pane ySplit="8" topLeftCell="A34" activePane="bottomLeft" state="frozen"/>
      <selection activeCell="I1" sqref="I1"/>
      <selection pane="bottomLeft" activeCell="M37" sqref="M37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1.5546875" style="12" customWidth="1"/>
    <col min="6" max="6" width="27.5546875" style="3" customWidth="1"/>
    <col min="7" max="7" width="49.109375" style="3" customWidth="1"/>
    <col min="8" max="8" width="26.88671875" style="11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4" style="12" bestFit="1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98">
        <f>SUM(H9:H9999)</f>
        <v>198512.26000000004</v>
      </c>
      <c r="K2" s="332"/>
      <c r="L2" s="332"/>
      <c r="M2" s="332"/>
      <c r="N2" s="333" t="s">
        <v>137</v>
      </c>
      <c r="O2" s="335"/>
      <c r="P2" s="87">
        <f>SUM(P9:P9999)</f>
        <v>119366.81</v>
      </c>
      <c r="R2" s="86"/>
      <c r="S2" s="333" t="s">
        <v>45</v>
      </c>
      <c r="T2" s="334"/>
      <c r="U2" s="335"/>
      <c r="V2" s="88">
        <f>SUM(V9:V9999)</f>
        <v>0</v>
      </c>
    </row>
    <row r="3" spans="1:24" x14ac:dyDescent="0.3">
      <c r="A3" s="332"/>
      <c r="B3" s="332"/>
      <c r="C3" s="332"/>
      <c r="D3" s="332"/>
      <c r="E3" s="332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336"/>
      <c r="K4" s="336"/>
      <c r="M4" s="336"/>
      <c r="N4" s="336"/>
      <c r="O4" s="336"/>
      <c r="P4" s="336"/>
    </row>
    <row r="5" spans="1:24" x14ac:dyDescent="0.3">
      <c r="A5" s="14"/>
      <c r="B5" s="14"/>
      <c r="C5" s="14"/>
      <c r="D5" s="14"/>
      <c r="E5" s="29"/>
      <c r="F5" s="14"/>
      <c r="G5" s="14"/>
      <c r="H5" s="15"/>
    </row>
    <row r="6" spans="1:24" ht="91.2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hidden="1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6" customFormat="1" ht="144" customHeight="1" x14ac:dyDescent="0.3">
      <c r="A9" s="318">
        <v>1</v>
      </c>
      <c r="B9" s="310" t="s">
        <v>56</v>
      </c>
      <c r="C9" s="310" t="s">
        <v>146</v>
      </c>
      <c r="D9" s="310" t="s">
        <v>147</v>
      </c>
      <c r="E9" s="326">
        <v>34000962</v>
      </c>
      <c r="F9" s="312">
        <v>45289</v>
      </c>
      <c r="G9" s="310" t="s">
        <v>174</v>
      </c>
      <c r="H9" s="314">
        <v>27406.080000000002</v>
      </c>
      <c r="I9" s="316">
        <f>IF(X9 = 23, H9 + SUM(S9:S11) - SUM(T9:T11) - SUM(P9:P11) - V9,0)</f>
        <v>20554.560000000001</v>
      </c>
      <c r="J9" s="310" t="s">
        <v>175</v>
      </c>
      <c r="K9" s="310" t="s">
        <v>176</v>
      </c>
      <c r="L9" s="310" t="s">
        <v>146</v>
      </c>
      <c r="M9" s="310"/>
      <c r="N9" s="244">
        <v>45322</v>
      </c>
      <c r="O9" s="312" t="s">
        <v>165</v>
      </c>
      <c r="P9" s="235">
        <v>2283.84</v>
      </c>
      <c r="Q9" s="236">
        <v>45336</v>
      </c>
      <c r="R9" s="237"/>
      <c r="S9" s="235"/>
      <c r="T9" s="235"/>
      <c r="U9" s="314"/>
      <c r="V9" s="320"/>
      <c r="W9" s="308"/>
      <c r="X9" s="106">
        <v>23</v>
      </c>
    </row>
    <row r="10" spans="1:24" s="166" customFormat="1" x14ac:dyDescent="0.3">
      <c r="A10" s="331"/>
      <c r="B10" s="323"/>
      <c r="C10" s="323"/>
      <c r="D10" s="323"/>
      <c r="E10" s="327"/>
      <c r="F10" s="329"/>
      <c r="G10" s="323"/>
      <c r="H10" s="322"/>
      <c r="I10" s="330"/>
      <c r="J10" s="323"/>
      <c r="K10" s="323"/>
      <c r="L10" s="323"/>
      <c r="M10" s="323"/>
      <c r="N10" s="245">
        <v>45351</v>
      </c>
      <c r="O10" s="329"/>
      <c r="P10" s="238">
        <v>2283.84</v>
      </c>
      <c r="Q10" s="239">
        <v>45351</v>
      </c>
      <c r="R10" s="240"/>
      <c r="S10" s="238"/>
      <c r="T10" s="238"/>
      <c r="U10" s="322"/>
      <c r="V10" s="324"/>
      <c r="W10" s="325"/>
      <c r="X10" s="166">
        <v>23</v>
      </c>
    </row>
    <row r="11" spans="1:24" s="234" customFormat="1" x14ac:dyDescent="0.3">
      <c r="A11" s="319"/>
      <c r="B11" s="311"/>
      <c r="C11" s="311"/>
      <c r="D11" s="311"/>
      <c r="E11" s="328"/>
      <c r="F11" s="313"/>
      <c r="G11" s="311"/>
      <c r="H11" s="315"/>
      <c r="I11" s="317"/>
      <c r="J11" s="311"/>
      <c r="K11" s="311"/>
      <c r="L11" s="311"/>
      <c r="M11" s="311"/>
      <c r="N11" s="246">
        <v>45382</v>
      </c>
      <c r="O11" s="313"/>
      <c r="P11" s="241">
        <v>2283.84</v>
      </c>
      <c r="Q11" s="242">
        <v>45383</v>
      </c>
      <c r="R11" s="243"/>
      <c r="S11" s="241"/>
      <c r="T11" s="241"/>
      <c r="U11" s="315"/>
      <c r="V11" s="321"/>
      <c r="W11" s="309"/>
      <c r="X11" s="234">
        <v>23</v>
      </c>
    </row>
    <row r="12" spans="1:24" s="106" customFormat="1" ht="144" customHeight="1" x14ac:dyDescent="0.3">
      <c r="A12" s="318">
        <v>2</v>
      </c>
      <c r="B12" s="310" t="s">
        <v>56</v>
      </c>
      <c r="C12" s="310" t="s">
        <v>146</v>
      </c>
      <c r="D12" s="310" t="s">
        <v>147</v>
      </c>
      <c r="E12" s="326">
        <v>166</v>
      </c>
      <c r="F12" s="312">
        <v>45279</v>
      </c>
      <c r="G12" s="310" t="s">
        <v>179</v>
      </c>
      <c r="H12" s="314">
        <v>15632.19</v>
      </c>
      <c r="I12" s="316">
        <f>IF(X12 = 24, H12 + SUM(S12:S15) - SUM(T12:T15) - SUM(P12:P15) - V12,0)</f>
        <v>12016.28</v>
      </c>
      <c r="J12" s="310" t="s">
        <v>180</v>
      </c>
      <c r="K12" s="310" t="s">
        <v>161</v>
      </c>
      <c r="L12" s="310" t="s">
        <v>146</v>
      </c>
      <c r="M12" s="310"/>
      <c r="N12" s="244">
        <v>45322</v>
      </c>
      <c r="O12" s="312" t="s">
        <v>165</v>
      </c>
      <c r="P12" s="235">
        <v>1075.75</v>
      </c>
      <c r="Q12" s="236">
        <v>45330</v>
      </c>
      <c r="R12" s="237"/>
      <c r="S12" s="235"/>
      <c r="T12" s="235"/>
      <c r="U12" s="314"/>
      <c r="V12" s="320"/>
      <c r="W12" s="308"/>
      <c r="X12" s="106">
        <v>24</v>
      </c>
    </row>
    <row r="13" spans="1:24" s="206" customFormat="1" x14ac:dyDescent="0.3">
      <c r="A13" s="331"/>
      <c r="B13" s="323"/>
      <c r="C13" s="323"/>
      <c r="D13" s="323"/>
      <c r="E13" s="327"/>
      <c r="F13" s="329"/>
      <c r="G13" s="323"/>
      <c r="H13" s="322"/>
      <c r="I13" s="330"/>
      <c r="J13" s="323"/>
      <c r="K13" s="323"/>
      <c r="L13" s="323"/>
      <c r="M13" s="323"/>
      <c r="N13" s="245">
        <v>45351</v>
      </c>
      <c r="O13" s="329"/>
      <c r="P13" s="238">
        <v>1175.5</v>
      </c>
      <c r="Q13" s="239">
        <v>45363</v>
      </c>
      <c r="R13" s="240"/>
      <c r="S13" s="238"/>
      <c r="T13" s="238"/>
      <c r="U13" s="322"/>
      <c r="V13" s="324"/>
      <c r="W13" s="325"/>
      <c r="X13" s="206">
        <v>24</v>
      </c>
    </row>
    <row r="14" spans="1:24" s="206" customFormat="1" x14ac:dyDescent="0.3">
      <c r="A14" s="331"/>
      <c r="B14" s="323"/>
      <c r="C14" s="323"/>
      <c r="D14" s="323"/>
      <c r="E14" s="327"/>
      <c r="F14" s="329"/>
      <c r="G14" s="323"/>
      <c r="H14" s="322"/>
      <c r="I14" s="330"/>
      <c r="J14" s="323"/>
      <c r="K14" s="323"/>
      <c r="L14" s="323"/>
      <c r="M14" s="323"/>
      <c r="N14" s="245">
        <v>45351</v>
      </c>
      <c r="O14" s="329"/>
      <c r="P14" s="238">
        <v>87</v>
      </c>
      <c r="Q14" s="239">
        <v>45363</v>
      </c>
      <c r="R14" s="240"/>
      <c r="S14" s="238"/>
      <c r="T14" s="238"/>
      <c r="U14" s="322"/>
      <c r="V14" s="324"/>
      <c r="W14" s="325"/>
      <c r="X14" s="206">
        <v>24</v>
      </c>
    </row>
    <row r="15" spans="1:24" s="234" customFormat="1" x14ac:dyDescent="0.3">
      <c r="A15" s="319"/>
      <c r="B15" s="311"/>
      <c r="C15" s="311"/>
      <c r="D15" s="311"/>
      <c r="E15" s="328"/>
      <c r="F15" s="313"/>
      <c r="G15" s="311"/>
      <c r="H15" s="315"/>
      <c r="I15" s="317"/>
      <c r="J15" s="311"/>
      <c r="K15" s="311"/>
      <c r="L15" s="311"/>
      <c r="M15" s="311"/>
      <c r="N15" s="246">
        <v>45382</v>
      </c>
      <c r="O15" s="313"/>
      <c r="P15" s="241">
        <v>1277.6600000000001</v>
      </c>
      <c r="Q15" s="242">
        <v>45386</v>
      </c>
      <c r="R15" s="243"/>
      <c r="S15" s="241"/>
      <c r="T15" s="241"/>
      <c r="U15" s="315"/>
      <c r="V15" s="321"/>
      <c r="W15" s="309"/>
      <c r="X15" s="234">
        <v>24</v>
      </c>
    </row>
    <row r="16" spans="1:24" s="106" customFormat="1" ht="144" x14ac:dyDescent="0.3">
      <c r="A16" s="119">
        <v>3</v>
      </c>
      <c r="B16" s="120" t="s">
        <v>56</v>
      </c>
      <c r="C16" s="120" t="s">
        <v>146</v>
      </c>
      <c r="D16" s="120" t="s">
        <v>147</v>
      </c>
      <c r="E16" s="121" t="s">
        <v>206</v>
      </c>
      <c r="F16" s="128">
        <v>44949</v>
      </c>
      <c r="G16" s="120" t="s">
        <v>207</v>
      </c>
      <c r="H16" s="122">
        <v>8200</v>
      </c>
      <c r="I16" s="123">
        <f>IF(X16 = 26, H16 + SUM(S16:S16) - SUM(T16:T16) - SUM(P16:P16) - V16,0)</f>
        <v>0</v>
      </c>
      <c r="J16" s="120" t="s">
        <v>208</v>
      </c>
      <c r="K16" s="120" t="s">
        <v>209</v>
      </c>
      <c r="L16" s="120" t="s">
        <v>146</v>
      </c>
      <c r="M16" s="120"/>
      <c r="N16" s="128"/>
      <c r="O16" s="128" t="s">
        <v>194</v>
      </c>
      <c r="P16" s="122">
        <v>8200</v>
      </c>
      <c r="Q16" s="121">
        <v>45315</v>
      </c>
      <c r="R16" s="120"/>
      <c r="S16" s="122"/>
      <c r="T16" s="122"/>
      <c r="U16" s="122"/>
      <c r="V16" s="141"/>
      <c r="W16" s="127"/>
      <c r="X16" s="106">
        <v>26</v>
      </c>
    </row>
    <row r="17" spans="1:24" s="106" customFormat="1" ht="18" customHeight="1" x14ac:dyDescent="0.3">
      <c r="A17" s="148">
        <v>4</v>
      </c>
      <c r="B17" s="143" t="s">
        <v>56</v>
      </c>
      <c r="C17" s="143" t="s">
        <v>146</v>
      </c>
      <c r="D17" s="143" t="s">
        <v>147</v>
      </c>
      <c r="E17" s="158">
        <v>42</v>
      </c>
      <c r="F17" s="144">
        <v>45316</v>
      </c>
      <c r="G17" s="143" t="s">
        <v>210</v>
      </c>
      <c r="H17" s="145">
        <v>1400</v>
      </c>
      <c r="I17" s="149">
        <f>IF(X17 = 29, H17 + SUM(S17:S17) - SUM(T17:T17) - SUM(P17:P17) - V17,0)</f>
        <v>0</v>
      </c>
      <c r="J17" s="143" t="s">
        <v>159</v>
      </c>
      <c r="K17" s="143" t="s">
        <v>160</v>
      </c>
      <c r="L17" s="143" t="s">
        <v>146</v>
      </c>
      <c r="M17" s="143"/>
      <c r="N17" s="129"/>
      <c r="O17" s="144" t="s">
        <v>194</v>
      </c>
      <c r="P17" s="130">
        <v>1400</v>
      </c>
      <c r="Q17" s="131">
        <v>45322</v>
      </c>
      <c r="R17" s="132"/>
      <c r="S17" s="130"/>
      <c r="T17" s="130"/>
      <c r="U17" s="145"/>
      <c r="V17" s="146"/>
      <c r="W17" s="147"/>
      <c r="X17" s="106">
        <v>29</v>
      </c>
    </row>
    <row r="18" spans="1:24" s="106" customFormat="1" ht="144" x14ac:dyDescent="0.3">
      <c r="A18" s="119">
        <v>5</v>
      </c>
      <c r="B18" s="120" t="s">
        <v>56</v>
      </c>
      <c r="C18" s="120" t="s">
        <v>146</v>
      </c>
      <c r="D18" s="120" t="s">
        <v>147</v>
      </c>
      <c r="E18" s="142">
        <v>43</v>
      </c>
      <c r="F18" s="128">
        <v>45316</v>
      </c>
      <c r="G18" s="143" t="s">
        <v>210</v>
      </c>
      <c r="H18" s="145">
        <v>1400</v>
      </c>
      <c r="I18" s="123">
        <f>IF(X18 = 30, H18 + SUM(S18:S18) - SUM(T18:T18) - SUM(P18:P18) - V18,0)</f>
        <v>0</v>
      </c>
      <c r="J18" s="143" t="s">
        <v>159</v>
      </c>
      <c r="K18" s="143" t="s">
        <v>160</v>
      </c>
      <c r="L18" s="120" t="s">
        <v>146</v>
      </c>
      <c r="M18" s="120"/>
      <c r="N18" s="128"/>
      <c r="O18" s="128" t="s">
        <v>194</v>
      </c>
      <c r="P18" s="122">
        <v>1400</v>
      </c>
      <c r="Q18" s="121">
        <v>45322</v>
      </c>
      <c r="R18" s="120"/>
      <c r="S18" s="122"/>
      <c r="T18" s="122"/>
      <c r="U18" s="122"/>
      <c r="V18" s="141"/>
      <c r="W18" s="127"/>
      <c r="X18" s="106">
        <v>30</v>
      </c>
    </row>
    <row r="19" spans="1:24" s="106" customFormat="1" ht="144" x14ac:dyDescent="0.3">
      <c r="A19" s="119">
        <v>6</v>
      </c>
      <c r="B19" s="120" t="s">
        <v>56</v>
      </c>
      <c r="C19" s="120" t="s">
        <v>146</v>
      </c>
      <c r="D19" s="120" t="s">
        <v>147</v>
      </c>
      <c r="E19" s="142">
        <v>11</v>
      </c>
      <c r="F19" s="128">
        <v>45321</v>
      </c>
      <c r="G19" s="120" t="s">
        <v>212</v>
      </c>
      <c r="H19" s="122">
        <v>14450</v>
      </c>
      <c r="I19" s="123">
        <f>IF(X19 = 31, H19 + SUM(S19:S19) - SUM(T19:T19) - SUM(P19:P19) - V19,0)</f>
        <v>0</v>
      </c>
      <c r="J19" s="120" t="s">
        <v>213</v>
      </c>
      <c r="K19" s="120" t="s">
        <v>199</v>
      </c>
      <c r="L19" s="120" t="s">
        <v>146</v>
      </c>
      <c r="M19" s="120"/>
      <c r="N19" s="128"/>
      <c r="O19" s="128" t="s">
        <v>194</v>
      </c>
      <c r="P19" s="122">
        <v>14450</v>
      </c>
      <c r="Q19" s="121">
        <v>45322</v>
      </c>
      <c r="R19" s="120"/>
      <c r="S19" s="122"/>
      <c r="T19" s="122"/>
      <c r="U19" s="122"/>
      <c r="V19" s="141"/>
      <c r="W19" s="127"/>
      <c r="X19" s="106">
        <v>31</v>
      </c>
    </row>
    <row r="20" spans="1:24" s="106" customFormat="1" ht="144" x14ac:dyDescent="0.3">
      <c r="A20" s="119">
        <v>7</v>
      </c>
      <c r="B20" s="120" t="s">
        <v>56</v>
      </c>
      <c r="C20" s="120" t="s">
        <v>163</v>
      </c>
      <c r="D20" s="120" t="s">
        <v>147</v>
      </c>
      <c r="E20" s="142">
        <v>10</v>
      </c>
      <c r="F20" s="128">
        <v>45327</v>
      </c>
      <c r="G20" s="120" t="s">
        <v>59</v>
      </c>
      <c r="H20" s="122">
        <v>14400</v>
      </c>
      <c r="I20" s="123">
        <f>IF(X20 = 32, H20 + SUM(S20:S20) - SUM(T20:T20) - SUM(P20:P20) - V20,0)</f>
        <v>0</v>
      </c>
      <c r="J20" s="120" t="s">
        <v>214</v>
      </c>
      <c r="K20" s="120" t="s">
        <v>215</v>
      </c>
      <c r="L20" s="120" t="s">
        <v>146</v>
      </c>
      <c r="M20" s="120"/>
      <c r="N20" s="128"/>
      <c r="O20" s="128" t="s">
        <v>194</v>
      </c>
      <c r="P20" s="122">
        <v>14400</v>
      </c>
      <c r="Q20" s="121">
        <v>45334</v>
      </c>
      <c r="R20" s="120"/>
      <c r="S20" s="122"/>
      <c r="T20" s="122"/>
      <c r="U20" s="122"/>
      <c r="V20" s="141"/>
      <c r="W20" s="127"/>
      <c r="X20" s="106">
        <v>32</v>
      </c>
    </row>
    <row r="21" spans="1:24" s="106" customFormat="1" ht="144" x14ac:dyDescent="0.3">
      <c r="A21" s="150">
        <v>8</v>
      </c>
      <c r="B21" s="151" t="s">
        <v>56</v>
      </c>
      <c r="C21" s="151" t="s">
        <v>146</v>
      </c>
      <c r="D21" s="151" t="s">
        <v>147</v>
      </c>
      <c r="E21" s="156">
        <v>45336</v>
      </c>
      <c r="F21" s="162">
        <v>45336</v>
      </c>
      <c r="G21" s="151" t="s">
        <v>216</v>
      </c>
      <c r="H21" s="152">
        <v>6000</v>
      </c>
      <c r="I21" s="153">
        <f>IF(X21 = 33, H21 + SUM(S21:S21) - SUM(T21:T21) - SUM(P21:P21) - V21,0)</f>
        <v>0</v>
      </c>
      <c r="J21" s="151" t="s">
        <v>208</v>
      </c>
      <c r="K21" s="151" t="s">
        <v>209</v>
      </c>
      <c r="L21" s="151" t="s">
        <v>146</v>
      </c>
      <c r="M21" s="151"/>
      <c r="N21" s="162"/>
      <c r="O21" s="162" t="s">
        <v>194</v>
      </c>
      <c r="P21" s="152">
        <v>6000</v>
      </c>
      <c r="Q21" s="155">
        <v>45348</v>
      </c>
      <c r="R21" s="151"/>
      <c r="S21" s="152"/>
      <c r="T21" s="152"/>
      <c r="U21" s="152"/>
      <c r="V21" s="161"/>
      <c r="W21" s="154"/>
      <c r="X21" s="106">
        <v>33</v>
      </c>
    </row>
    <row r="22" spans="1:24" s="106" customFormat="1" ht="144" x14ac:dyDescent="0.3">
      <c r="A22" s="150">
        <v>9</v>
      </c>
      <c r="B22" s="151" t="s">
        <v>56</v>
      </c>
      <c r="C22" s="151" t="s">
        <v>146</v>
      </c>
      <c r="D22" s="151" t="s">
        <v>147</v>
      </c>
      <c r="E22" s="160">
        <v>139</v>
      </c>
      <c r="F22" s="162">
        <v>45337</v>
      </c>
      <c r="G22" s="151" t="s">
        <v>217</v>
      </c>
      <c r="H22" s="152">
        <v>7000</v>
      </c>
      <c r="I22" s="153">
        <f>IF(X22 = 34, H22 + SUM(S22:S22) - SUM(T22:T22) - SUM(P22:P22) - V22,0)</f>
        <v>0</v>
      </c>
      <c r="J22" s="151" t="s">
        <v>218</v>
      </c>
      <c r="K22" s="151" t="s">
        <v>219</v>
      </c>
      <c r="L22" s="151" t="s">
        <v>146</v>
      </c>
      <c r="M22" s="151"/>
      <c r="N22" s="162"/>
      <c r="O22" s="162" t="s">
        <v>194</v>
      </c>
      <c r="P22" s="152">
        <v>7000</v>
      </c>
      <c r="Q22" s="155">
        <v>45350</v>
      </c>
      <c r="R22" s="151"/>
      <c r="S22" s="152"/>
      <c r="T22" s="152"/>
      <c r="U22" s="152"/>
      <c r="V22" s="161"/>
      <c r="W22" s="154"/>
      <c r="X22" s="106">
        <v>34</v>
      </c>
    </row>
    <row r="23" spans="1:24" s="106" customFormat="1" ht="144" x14ac:dyDescent="0.3">
      <c r="A23" s="150">
        <v>10</v>
      </c>
      <c r="B23" s="151" t="s">
        <v>56</v>
      </c>
      <c r="C23" s="151" t="s">
        <v>146</v>
      </c>
      <c r="D23" s="151" t="s">
        <v>147</v>
      </c>
      <c r="E23" s="156">
        <v>45348</v>
      </c>
      <c r="F23" s="162">
        <v>45348</v>
      </c>
      <c r="G23" s="151" t="s">
        <v>216</v>
      </c>
      <c r="H23" s="152">
        <v>13100</v>
      </c>
      <c r="I23" s="153">
        <f>IF(X23 = 35, H23 + SUM(S23:S23) - SUM(T23:T23) - SUM(P23:P23) - V23,0)</f>
        <v>0</v>
      </c>
      <c r="J23" s="151" t="s">
        <v>208</v>
      </c>
      <c r="K23" s="151" t="s">
        <v>209</v>
      </c>
      <c r="L23" s="151" t="s">
        <v>146</v>
      </c>
      <c r="M23" s="151"/>
      <c r="N23" s="162"/>
      <c r="O23" s="162" t="s">
        <v>194</v>
      </c>
      <c r="P23" s="152">
        <v>13100</v>
      </c>
      <c r="Q23" s="155">
        <v>45351</v>
      </c>
      <c r="R23" s="151"/>
      <c r="S23" s="152"/>
      <c r="T23" s="152"/>
      <c r="U23" s="152"/>
      <c r="V23" s="161"/>
      <c r="W23" s="154"/>
      <c r="X23" s="106">
        <v>35</v>
      </c>
    </row>
    <row r="24" spans="1:24" s="106" customFormat="1" ht="144" x14ac:dyDescent="0.3">
      <c r="A24" s="150">
        <v>11</v>
      </c>
      <c r="B24" s="151" t="s">
        <v>56</v>
      </c>
      <c r="C24" s="151" t="s">
        <v>146</v>
      </c>
      <c r="D24" s="151" t="s">
        <v>220</v>
      </c>
      <c r="E24" s="156" t="s">
        <v>222</v>
      </c>
      <c r="F24" s="162">
        <v>45351</v>
      </c>
      <c r="G24" s="151" t="s">
        <v>223</v>
      </c>
      <c r="H24" s="152">
        <v>3600</v>
      </c>
      <c r="I24" s="153">
        <f>IF(X24 = 36, H24 + SUM(S24:S24) - SUM(T24:T24) - SUM(P24:P24) - V24,0)</f>
        <v>3000</v>
      </c>
      <c r="J24" s="151" t="s">
        <v>224</v>
      </c>
      <c r="K24" s="151" t="s">
        <v>157</v>
      </c>
      <c r="L24" s="151" t="s">
        <v>146</v>
      </c>
      <c r="M24" s="151"/>
      <c r="N24" s="162">
        <v>45382</v>
      </c>
      <c r="O24" s="162" t="s">
        <v>194</v>
      </c>
      <c r="P24" s="152">
        <v>600</v>
      </c>
      <c r="Q24" s="155">
        <v>45383</v>
      </c>
      <c r="R24" s="151"/>
      <c r="S24" s="152"/>
      <c r="T24" s="152"/>
      <c r="U24" s="152"/>
      <c r="V24" s="161"/>
      <c r="W24" s="154"/>
      <c r="X24" s="106">
        <v>36</v>
      </c>
    </row>
    <row r="25" spans="1:24" s="106" customFormat="1" ht="144" x14ac:dyDescent="0.3">
      <c r="A25" s="185">
        <v>12</v>
      </c>
      <c r="B25" s="188" t="s">
        <v>56</v>
      </c>
      <c r="C25" s="188" t="s">
        <v>146</v>
      </c>
      <c r="D25" s="188" t="s">
        <v>147</v>
      </c>
      <c r="E25" s="186">
        <v>210012514659</v>
      </c>
      <c r="F25" s="195">
        <v>45356</v>
      </c>
      <c r="G25" s="188" t="s">
        <v>231</v>
      </c>
      <c r="H25" s="187">
        <v>6348</v>
      </c>
      <c r="I25" s="192">
        <f>IF(X25 = 37, H25 + SUM(S25:S25) - SUM(T25:T25) - SUM(P25:P25) - V25,0)</f>
        <v>3348</v>
      </c>
      <c r="J25" s="188" t="s">
        <v>232</v>
      </c>
      <c r="K25" s="188" t="s">
        <v>233</v>
      </c>
      <c r="L25" s="188" t="s">
        <v>146</v>
      </c>
      <c r="M25" s="188"/>
      <c r="N25" s="195"/>
      <c r="O25" s="195" t="s">
        <v>234</v>
      </c>
      <c r="P25" s="187">
        <v>3000</v>
      </c>
      <c r="Q25" s="191">
        <v>45392</v>
      </c>
      <c r="R25" s="188"/>
      <c r="S25" s="187"/>
      <c r="T25" s="187"/>
      <c r="U25" s="187"/>
      <c r="V25" s="196"/>
      <c r="W25" s="190"/>
      <c r="X25" s="106">
        <v>37</v>
      </c>
    </row>
    <row r="26" spans="1:24" s="106" customFormat="1" ht="144" x14ac:dyDescent="0.3">
      <c r="A26" s="185">
        <v>13</v>
      </c>
      <c r="B26" s="188" t="s">
        <v>56</v>
      </c>
      <c r="C26" s="188" t="s">
        <v>163</v>
      </c>
      <c r="D26" s="188" t="s">
        <v>147</v>
      </c>
      <c r="E26" s="186" t="s">
        <v>235</v>
      </c>
      <c r="F26" s="195">
        <v>45358</v>
      </c>
      <c r="G26" s="188" t="s">
        <v>236</v>
      </c>
      <c r="H26" s="187">
        <v>8200</v>
      </c>
      <c r="I26" s="192">
        <f>IF(X26 = 38, H26 + SUM(S26:S26) - SUM(T26:T26) - SUM(P26:P26) - V26,0)</f>
        <v>0</v>
      </c>
      <c r="J26" s="188" t="s">
        <v>237</v>
      </c>
      <c r="K26" s="188" t="s">
        <v>238</v>
      </c>
      <c r="L26" s="188" t="s">
        <v>146</v>
      </c>
      <c r="M26" s="188"/>
      <c r="N26" s="195">
        <v>45366</v>
      </c>
      <c r="O26" s="195" t="s">
        <v>234</v>
      </c>
      <c r="P26" s="187">
        <v>8200</v>
      </c>
      <c r="Q26" s="191">
        <v>45370</v>
      </c>
      <c r="R26" s="188"/>
      <c r="S26" s="187"/>
      <c r="T26" s="187"/>
      <c r="U26" s="187"/>
      <c r="V26" s="196"/>
      <c r="W26" s="190"/>
      <c r="X26" s="106">
        <v>38</v>
      </c>
    </row>
    <row r="27" spans="1:24" s="106" customFormat="1" ht="144" x14ac:dyDescent="0.3">
      <c r="A27" s="185">
        <v>14</v>
      </c>
      <c r="B27" s="188" t="s">
        <v>56</v>
      </c>
      <c r="C27" s="188" t="s">
        <v>146</v>
      </c>
      <c r="D27" s="188" t="s">
        <v>147</v>
      </c>
      <c r="E27" s="217">
        <v>41</v>
      </c>
      <c r="F27" s="195">
        <v>45302</v>
      </c>
      <c r="G27" s="188" t="s">
        <v>246</v>
      </c>
      <c r="H27" s="187">
        <v>10000</v>
      </c>
      <c r="I27" s="192">
        <f>IF(X27 = 39, H27 + SUM(S27:S27) - SUM(T27:T27) - SUM(P27:P27) - V27,0)</f>
        <v>0</v>
      </c>
      <c r="J27" s="188" t="s">
        <v>213</v>
      </c>
      <c r="K27" s="188" t="s">
        <v>199</v>
      </c>
      <c r="L27" s="188" t="s">
        <v>146</v>
      </c>
      <c r="M27" s="188"/>
      <c r="N27" s="195">
        <v>45362</v>
      </c>
      <c r="O27" s="195" t="s">
        <v>194</v>
      </c>
      <c r="P27" s="187">
        <v>10000</v>
      </c>
      <c r="Q27" s="191">
        <v>45363</v>
      </c>
      <c r="R27" s="188"/>
      <c r="S27" s="187"/>
      <c r="T27" s="187"/>
      <c r="U27" s="187"/>
      <c r="V27" s="196"/>
      <c r="W27" s="190"/>
      <c r="X27" s="106">
        <v>39</v>
      </c>
    </row>
    <row r="28" spans="1:24" s="106" customFormat="1" ht="144" x14ac:dyDescent="0.3">
      <c r="A28" s="185">
        <v>15</v>
      </c>
      <c r="B28" s="188" t="s">
        <v>56</v>
      </c>
      <c r="C28" s="188" t="s">
        <v>146</v>
      </c>
      <c r="D28" s="188" t="s">
        <v>147</v>
      </c>
      <c r="E28" s="186" t="s">
        <v>248</v>
      </c>
      <c r="F28" s="195">
        <v>45369</v>
      </c>
      <c r="G28" s="188" t="s">
        <v>247</v>
      </c>
      <c r="H28" s="187">
        <v>7000</v>
      </c>
      <c r="I28" s="192">
        <f>IF(X28 = 40, H28 + SUM(S28:S28) - SUM(T28:T28) - SUM(P28:P28) - V28,0)</f>
        <v>7000</v>
      </c>
      <c r="J28" s="188" t="s">
        <v>245</v>
      </c>
      <c r="K28" s="188" t="s">
        <v>229</v>
      </c>
      <c r="L28" s="188" t="s">
        <v>146</v>
      </c>
      <c r="M28" s="188"/>
      <c r="N28" s="195"/>
      <c r="O28" s="195" t="s">
        <v>194</v>
      </c>
      <c r="P28" s="187"/>
      <c r="Q28" s="191"/>
      <c r="R28" s="188"/>
      <c r="S28" s="187"/>
      <c r="T28" s="187"/>
      <c r="U28" s="187"/>
      <c r="V28" s="196"/>
      <c r="W28" s="190"/>
      <c r="X28" s="106">
        <v>40</v>
      </c>
    </row>
    <row r="29" spans="1:24" s="106" customFormat="1" ht="144" x14ac:dyDescent="0.3">
      <c r="A29" s="185">
        <v>16</v>
      </c>
      <c r="B29" s="188" t="s">
        <v>56</v>
      </c>
      <c r="C29" s="188" t="s">
        <v>146</v>
      </c>
      <c r="D29" s="188" t="s">
        <v>147</v>
      </c>
      <c r="E29" s="186" t="s">
        <v>249</v>
      </c>
      <c r="F29" s="195">
        <v>45372</v>
      </c>
      <c r="G29" s="188" t="s">
        <v>250</v>
      </c>
      <c r="H29" s="187">
        <v>7600</v>
      </c>
      <c r="I29" s="192">
        <f>IF(X29 = 41, H29 + SUM(S29:S29) - SUM(T29:T29) - SUM(P29:P29) - V29,0)</f>
        <v>0</v>
      </c>
      <c r="J29" s="188" t="s">
        <v>251</v>
      </c>
      <c r="K29" s="188" t="s">
        <v>252</v>
      </c>
      <c r="L29" s="188" t="s">
        <v>146</v>
      </c>
      <c r="M29" s="188"/>
      <c r="N29" s="195">
        <v>45372</v>
      </c>
      <c r="O29" s="195" t="s">
        <v>194</v>
      </c>
      <c r="P29" s="187">
        <v>7600</v>
      </c>
      <c r="Q29" s="191">
        <v>45376</v>
      </c>
      <c r="R29" s="188"/>
      <c r="S29" s="187"/>
      <c r="T29" s="187"/>
      <c r="U29" s="187"/>
      <c r="V29" s="196"/>
      <c r="W29" s="190"/>
      <c r="X29" s="106">
        <v>41</v>
      </c>
    </row>
    <row r="30" spans="1:24" s="106" customFormat="1" ht="144" x14ac:dyDescent="0.3">
      <c r="A30" s="198">
        <v>17</v>
      </c>
      <c r="B30" s="201" t="s">
        <v>56</v>
      </c>
      <c r="C30" s="201" t="s">
        <v>146</v>
      </c>
      <c r="D30" s="201" t="s">
        <v>147</v>
      </c>
      <c r="E30" s="199" t="s">
        <v>259</v>
      </c>
      <c r="F30" s="205">
        <v>45378</v>
      </c>
      <c r="G30" s="201" t="s">
        <v>258</v>
      </c>
      <c r="H30" s="200">
        <v>9357.7000000000007</v>
      </c>
      <c r="I30" s="204">
        <f>IF(X30 = 42, H30 + SUM(S30:S30) - SUM(T30:T30) - SUM(P30:P30) - V30,0)</f>
        <v>9357.7000000000007</v>
      </c>
      <c r="J30" s="201" t="s">
        <v>257</v>
      </c>
      <c r="K30" s="201" t="s">
        <v>256</v>
      </c>
      <c r="L30" s="201" t="s">
        <v>146</v>
      </c>
      <c r="M30" s="201"/>
      <c r="N30" s="205"/>
      <c r="O30" s="128" t="s">
        <v>165</v>
      </c>
      <c r="P30" s="200"/>
      <c r="Q30" s="203"/>
      <c r="R30" s="201"/>
      <c r="S30" s="200"/>
      <c r="T30" s="200"/>
      <c r="U30" s="200"/>
      <c r="V30" s="196"/>
      <c r="W30" s="202"/>
      <c r="X30" s="106">
        <v>42</v>
      </c>
    </row>
    <row r="31" spans="1:24" s="106" customFormat="1" ht="144" x14ac:dyDescent="0.3">
      <c r="A31" s="221">
        <v>18</v>
      </c>
      <c r="B31" s="222" t="s">
        <v>56</v>
      </c>
      <c r="C31" s="222" t="s">
        <v>146</v>
      </c>
      <c r="D31" s="222" t="s">
        <v>220</v>
      </c>
      <c r="E31" s="232">
        <v>12</v>
      </c>
      <c r="F31" s="228">
        <v>45407</v>
      </c>
      <c r="G31" s="222" t="s">
        <v>262</v>
      </c>
      <c r="H31" s="224">
        <v>1187</v>
      </c>
      <c r="I31" s="225">
        <f>IF(X31 = 43, H31 + SUM(S31:S31) - SUM(T31:T31) - SUM(P31:P31) - V31,0)</f>
        <v>1187</v>
      </c>
      <c r="J31" s="222" t="s">
        <v>263</v>
      </c>
      <c r="K31" s="222" t="s">
        <v>264</v>
      </c>
      <c r="L31" s="222" t="s">
        <v>146</v>
      </c>
      <c r="M31" s="222"/>
      <c r="N31" s="228"/>
      <c r="O31" s="228" t="s">
        <v>165</v>
      </c>
      <c r="P31" s="224"/>
      <c r="Q31" s="226"/>
      <c r="R31" s="222"/>
      <c r="S31" s="224"/>
      <c r="T31" s="224"/>
      <c r="U31" s="224"/>
      <c r="V31" s="227"/>
      <c r="W31" s="219"/>
      <c r="X31" s="106">
        <v>43</v>
      </c>
    </row>
    <row r="32" spans="1:24" s="106" customFormat="1" ht="144" x14ac:dyDescent="0.3">
      <c r="A32" s="221">
        <v>19</v>
      </c>
      <c r="B32" s="222" t="s">
        <v>56</v>
      </c>
      <c r="C32" s="222" t="s">
        <v>146</v>
      </c>
      <c r="D32" s="222" t="s">
        <v>147</v>
      </c>
      <c r="E32" s="223" t="s">
        <v>266</v>
      </c>
      <c r="F32" s="228">
        <v>45385</v>
      </c>
      <c r="G32" s="222" t="s">
        <v>267</v>
      </c>
      <c r="H32" s="224">
        <v>5000</v>
      </c>
      <c r="I32" s="225">
        <f>IF(X32 = 44, H32 + SUM(S32:S32) - SUM(T32:T32) - SUM(P32:P32) - V32,0)</f>
        <v>0</v>
      </c>
      <c r="J32" s="222" t="s">
        <v>268</v>
      </c>
      <c r="K32" s="222" t="s">
        <v>269</v>
      </c>
      <c r="L32" s="222" t="s">
        <v>146</v>
      </c>
      <c r="M32" s="222"/>
      <c r="N32" s="228"/>
      <c r="O32" s="228" t="s">
        <v>165</v>
      </c>
      <c r="P32" s="224">
        <v>5000</v>
      </c>
      <c r="Q32" s="226">
        <v>45387</v>
      </c>
      <c r="R32" s="222"/>
      <c r="S32" s="224"/>
      <c r="T32" s="224"/>
      <c r="U32" s="224"/>
      <c r="V32" s="227"/>
      <c r="W32" s="219"/>
      <c r="X32" s="106">
        <v>44</v>
      </c>
    </row>
    <row r="33" spans="1:24" s="106" customFormat="1" ht="108" customHeight="1" x14ac:dyDescent="0.3">
      <c r="A33" s="318">
        <v>20</v>
      </c>
      <c r="B33" s="310" t="s">
        <v>56</v>
      </c>
      <c r="C33" s="310" t="s">
        <v>146</v>
      </c>
      <c r="D33" s="310" t="s">
        <v>220</v>
      </c>
      <c r="E33" s="312" t="s">
        <v>270</v>
      </c>
      <c r="F33" s="312">
        <v>45401</v>
      </c>
      <c r="G33" s="310" t="s">
        <v>271</v>
      </c>
      <c r="H33" s="314">
        <v>11370</v>
      </c>
      <c r="I33" s="316">
        <f>IF(X33 = 45, H33 + SUM(S33:S34) - SUM(T33:T34) - SUM(P33:P34) - V33,0)</f>
        <v>7959</v>
      </c>
      <c r="J33" s="310" t="s">
        <v>272</v>
      </c>
      <c r="K33" s="310" t="s">
        <v>273</v>
      </c>
      <c r="L33" s="310" t="s">
        <v>146</v>
      </c>
      <c r="M33" s="310"/>
      <c r="N33" s="244"/>
      <c r="O33" s="312" t="s">
        <v>274</v>
      </c>
      <c r="P33" s="235">
        <v>2967</v>
      </c>
      <c r="Q33" s="236">
        <v>45406</v>
      </c>
      <c r="R33" s="237"/>
      <c r="S33" s="235"/>
      <c r="T33" s="235"/>
      <c r="U33" s="314"/>
      <c r="V33" s="320"/>
      <c r="W33" s="308"/>
      <c r="X33" s="106">
        <v>45</v>
      </c>
    </row>
    <row r="34" spans="1:24" s="234" customFormat="1" x14ac:dyDescent="0.3">
      <c r="A34" s="319"/>
      <c r="B34" s="311"/>
      <c r="C34" s="311"/>
      <c r="D34" s="311"/>
      <c r="E34" s="313"/>
      <c r="F34" s="313"/>
      <c r="G34" s="311"/>
      <c r="H34" s="315"/>
      <c r="I34" s="317"/>
      <c r="J34" s="311"/>
      <c r="K34" s="311"/>
      <c r="L34" s="311"/>
      <c r="M34" s="311"/>
      <c r="N34" s="246"/>
      <c r="O34" s="313"/>
      <c r="P34" s="241">
        <v>444</v>
      </c>
      <c r="Q34" s="242">
        <v>45406</v>
      </c>
      <c r="R34" s="243"/>
      <c r="S34" s="241"/>
      <c r="T34" s="241"/>
      <c r="U34" s="315"/>
      <c r="V34" s="321"/>
      <c r="W34" s="309"/>
      <c r="X34" s="234">
        <v>45</v>
      </c>
    </row>
    <row r="35" spans="1:24" s="106" customFormat="1" ht="108" x14ac:dyDescent="0.3">
      <c r="A35" s="221">
        <v>21</v>
      </c>
      <c r="B35" s="222" t="s">
        <v>56</v>
      </c>
      <c r="C35" s="222" t="s">
        <v>146</v>
      </c>
      <c r="D35" s="222" t="s">
        <v>147</v>
      </c>
      <c r="E35" s="223" t="s">
        <v>276</v>
      </c>
      <c r="F35" s="228">
        <v>45401</v>
      </c>
      <c r="G35" s="222" t="s">
        <v>275</v>
      </c>
      <c r="H35" s="224">
        <v>2461.29</v>
      </c>
      <c r="I35" s="225">
        <f>IF(X35 = 46, H35 + SUM(S35:S35) - SUM(T35:T35) - SUM(P35:P35) - V35,0)</f>
        <v>1722.9099999999999</v>
      </c>
      <c r="J35" s="222" t="s">
        <v>272</v>
      </c>
      <c r="K35" s="222" t="s">
        <v>273</v>
      </c>
      <c r="L35" s="222" t="s">
        <v>146</v>
      </c>
      <c r="M35" s="222"/>
      <c r="N35" s="228"/>
      <c r="O35" s="228" t="s">
        <v>274</v>
      </c>
      <c r="P35" s="224">
        <v>738.38</v>
      </c>
      <c r="Q35" s="226">
        <v>45406</v>
      </c>
      <c r="R35" s="222"/>
      <c r="S35" s="224"/>
      <c r="T35" s="224"/>
      <c r="U35" s="224"/>
      <c r="V35" s="227"/>
      <c r="W35" s="219"/>
      <c r="X35" s="106">
        <v>46</v>
      </c>
    </row>
    <row r="36" spans="1:24" s="106" customFormat="1" ht="144" x14ac:dyDescent="0.3">
      <c r="A36" s="221">
        <v>22</v>
      </c>
      <c r="B36" s="222" t="s">
        <v>56</v>
      </c>
      <c r="C36" s="222" t="s">
        <v>146</v>
      </c>
      <c r="D36" s="222" t="s">
        <v>220</v>
      </c>
      <c r="E36" s="228" t="s">
        <v>277</v>
      </c>
      <c r="F36" s="233">
        <v>45404</v>
      </c>
      <c r="G36" s="222" t="s">
        <v>207</v>
      </c>
      <c r="H36" s="224">
        <v>13000</v>
      </c>
      <c r="I36" s="225">
        <f>IF(X36 = 47, H36 + SUM(S36:S36) - SUM(T36:T36) - SUM(P36:P36) - V36,0)</f>
        <v>13000</v>
      </c>
      <c r="J36" s="222" t="s">
        <v>208</v>
      </c>
      <c r="K36" s="222" t="s">
        <v>209</v>
      </c>
      <c r="L36" s="222" t="s">
        <v>146</v>
      </c>
      <c r="M36" s="222"/>
      <c r="N36" s="233"/>
      <c r="O36" s="233" t="s">
        <v>194</v>
      </c>
      <c r="P36" s="224"/>
      <c r="Q36" s="226"/>
      <c r="R36" s="222"/>
      <c r="S36" s="224"/>
      <c r="T36" s="224"/>
      <c r="U36" s="224"/>
      <c r="V36" s="227"/>
      <c r="W36" s="220"/>
      <c r="X36" s="106">
        <v>47</v>
      </c>
    </row>
    <row r="37" spans="1:24" s="106" customFormat="1" ht="144" x14ac:dyDescent="0.3">
      <c r="A37" s="221">
        <v>23</v>
      </c>
      <c r="B37" s="222" t="s">
        <v>56</v>
      </c>
      <c r="C37" s="222" t="s">
        <v>146</v>
      </c>
      <c r="D37" s="222" t="s">
        <v>147</v>
      </c>
      <c r="E37" s="222" t="s">
        <v>278</v>
      </c>
      <c r="F37" s="233">
        <v>45398</v>
      </c>
      <c r="G37" s="222" t="s">
        <v>207</v>
      </c>
      <c r="H37" s="224">
        <v>4400</v>
      </c>
      <c r="I37" s="225">
        <f>IF(X37 = 48, H37 + SUM(S37:S37) - SUM(T37:T37) - SUM(P37:P37) - V37,0)</f>
        <v>0</v>
      </c>
      <c r="J37" s="222" t="s">
        <v>208</v>
      </c>
      <c r="K37" s="222" t="s">
        <v>209</v>
      </c>
      <c r="L37" s="222" t="s">
        <v>146</v>
      </c>
      <c r="M37" s="222"/>
      <c r="N37" s="233"/>
      <c r="O37" s="233" t="s">
        <v>194</v>
      </c>
      <c r="P37" s="224">
        <v>4400</v>
      </c>
      <c r="Q37" s="226">
        <v>45408</v>
      </c>
      <c r="R37" s="222"/>
      <c r="S37" s="224"/>
      <c r="T37" s="224"/>
      <c r="U37" s="224"/>
      <c r="V37" s="227"/>
      <c r="W37" s="220"/>
      <c r="X37" s="106">
        <v>48</v>
      </c>
    </row>
    <row r="38" spans="1:24" x14ac:dyDescent="0.3">
      <c r="A38" s="14"/>
      <c r="B38" s="108"/>
      <c r="C38" s="14"/>
      <c r="D38" s="14"/>
      <c r="E38" s="29"/>
      <c r="F38" s="14"/>
      <c r="G38" s="14"/>
      <c r="H38" s="15"/>
      <c r="I38" s="15"/>
      <c r="J38" s="14"/>
      <c r="K38" s="14"/>
      <c r="L38" s="14"/>
      <c r="M38" s="14"/>
      <c r="N38" s="29"/>
      <c r="O38" s="14"/>
      <c r="P38" s="104"/>
      <c r="Q38" s="29"/>
      <c r="R38" s="16"/>
      <c r="S38" s="16"/>
      <c r="T38" s="16"/>
      <c r="U38" s="29"/>
      <c r="V38" s="104"/>
      <c r="W38" s="16"/>
      <c r="X38" s="8">
        <v>49</v>
      </c>
    </row>
    <row r="39" spans="1:24" s="2" customFormat="1" x14ac:dyDescent="0.3">
      <c r="A39" s="41"/>
      <c r="B39" s="109"/>
      <c r="C39" s="41"/>
      <c r="D39" s="41"/>
      <c r="E39" s="42"/>
      <c r="F39" s="41"/>
      <c r="G39" s="41"/>
      <c r="H39" s="44"/>
      <c r="I39" s="44"/>
      <c r="J39" s="41"/>
      <c r="K39" s="41"/>
      <c r="L39" s="41"/>
      <c r="M39" s="41"/>
      <c r="N39" s="42"/>
      <c r="O39" s="41"/>
      <c r="P39" s="40"/>
      <c r="Q39" s="42"/>
      <c r="U39" s="42"/>
      <c r="V39" s="40"/>
    </row>
    <row r="40" spans="1:24" s="2" customFormat="1" x14ac:dyDescent="0.3">
      <c r="A40" s="41"/>
      <c r="B40" s="109"/>
      <c r="C40" s="41"/>
      <c r="D40" s="41"/>
      <c r="E40" s="42"/>
      <c r="F40" s="41"/>
      <c r="G40" s="41"/>
      <c r="H40" s="44"/>
      <c r="I40" s="44"/>
      <c r="J40" s="41"/>
      <c r="K40" s="41"/>
      <c r="L40" s="41"/>
      <c r="M40" s="41"/>
      <c r="N40" s="42"/>
      <c r="O40" s="41"/>
      <c r="P40" s="40"/>
      <c r="Q40" s="42"/>
      <c r="U40" s="42"/>
      <c r="V40" s="40"/>
    </row>
    <row r="41" spans="1:24" s="2" customFormat="1" x14ac:dyDescent="0.3">
      <c r="A41" s="41"/>
      <c r="B41" s="109"/>
      <c r="C41" s="41"/>
      <c r="D41" s="41"/>
      <c r="E41" s="42"/>
      <c r="F41" s="41"/>
      <c r="G41" s="41"/>
      <c r="H41" s="44"/>
      <c r="I41" s="44"/>
      <c r="J41" s="41"/>
      <c r="K41" s="41"/>
      <c r="L41" s="41"/>
      <c r="M41" s="41"/>
      <c r="N41" s="42"/>
      <c r="O41" s="41"/>
      <c r="P41" s="40"/>
      <c r="Q41" s="42"/>
      <c r="U41" s="42"/>
      <c r="V41" s="40"/>
    </row>
    <row r="42" spans="1:24" s="2" customFormat="1" x14ac:dyDescent="0.3">
      <c r="A42" s="41"/>
      <c r="B42" s="109"/>
      <c r="C42" s="41"/>
      <c r="D42" s="41"/>
      <c r="E42" s="42"/>
      <c r="F42" s="41"/>
      <c r="G42" s="41"/>
      <c r="H42" s="44"/>
      <c r="I42" s="44"/>
      <c r="J42" s="41"/>
      <c r="K42" s="41"/>
      <c r="L42" s="41"/>
      <c r="M42" s="41"/>
      <c r="N42" s="42"/>
      <c r="O42" s="41"/>
      <c r="P42" s="40"/>
      <c r="Q42" s="42"/>
      <c r="U42" s="42"/>
      <c r="V42" s="40"/>
    </row>
    <row r="43" spans="1:24" s="2" customFormat="1" x14ac:dyDescent="0.3">
      <c r="A43" s="41"/>
      <c r="B43" s="109"/>
      <c r="C43" s="41"/>
      <c r="D43" s="41"/>
      <c r="E43" s="42"/>
      <c r="F43" s="41"/>
      <c r="G43" s="41"/>
      <c r="H43" s="44"/>
      <c r="I43" s="44"/>
      <c r="J43" s="41"/>
      <c r="K43" s="41"/>
      <c r="L43" s="41"/>
      <c r="M43" s="41"/>
      <c r="N43" s="42"/>
      <c r="O43" s="41"/>
      <c r="P43" s="40"/>
      <c r="Q43" s="42"/>
      <c r="U43" s="42"/>
      <c r="V43" s="40"/>
    </row>
  </sheetData>
  <sheetProtection algorithmName="SHA-512" hashValue="/6EPhpLrfo+dGS/l1A+YtyE+RvozmCSZzjDoG68X+lCPf9bFeq6KUAJQhcb7N+6H5TVmtqmES+Oyu5fB4NZlSQ==" saltValue="QSgd4po5gxwDIfl5cPpPSA==" spinCount="100000" sheet="1" objects="1" scenarios="1" formatCells="0" formatColumns="0" formatRows="0"/>
  <mergeCells count="58">
    <mergeCell ref="A3:E3"/>
    <mergeCell ref="S2:U2"/>
    <mergeCell ref="N2:O2"/>
    <mergeCell ref="J4:K4"/>
    <mergeCell ref="M4:N4"/>
    <mergeCell ref="O4:P4"/>
    <mergeCell ref="K2:M2"/>
    <mergeCell ref="A12:A15"/>
    <mergeCell ref="A9:A11"/>
    <mergeCell ref="O9:O11"/>
    <mergeCell ref="U9:U11"/>
    <mergeCell ref="B9:B11"/>
    <mergeCell ref="C9:C11"/>
    <mergeCell ref="W9:W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V9:V11"/>
    <mergeCell ref="U12:U15"/>
    <mergeCell ref="B12:B15"/>
    <mergeCell ref="V12:V15"/>
    <mergeCell ref="C12:C15"/>
    <mergeCell ref="W12:W15"/>
    <mergeCell ref="D12:D15"/>
    <mergeCell ref="E12:E15"/>
    <mergeCell ref="F12:F15"/>
    <mergeCell ref="G12:G15"/>
    <mergeCell ref="H12:H15"/>
    <mergeCell ref="I12:I15"/>
    <mergeCell ref="J12:J15"/>
    <mergeCell ref="K12:K15"/>
    <mergeCell ref="L12:L15"/>
    <mergeCell ref="M12:M15"/>
    <mergeCell ref="O12:O15"/>
    <mergeCell ref="A33:A34"/>
    <mergeCell ref="O33:O34"/>
    <mergeCell ref="U33:U34"/>
    <mergeCell ref="B33:B34"/>
    <mergeCell ref="V33:V34"/>
    <mergeCell ref="C33:C34"/>
    <mergeCell ref="W33:W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07"/>
  <sheetViews>
    <sheetView showGridLines="0" topLeftCell="I1" zoomScale="70" zoomScaleNormal="70" workbookViewId="0">
      <pane ySplit="8" topLeftCell="A98" activePane="bottomLeft" state="frozen"/>
      <selection pane="bottomLeft" activeCell="I104" sqref="I104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3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E2" s="86"/>
      <c r="F2" s="429" t="s">
        <v>24</v>
      </c>
      <c r="G2" s="430"/>
      <c r="H2" s="98">
        <f>SUM(H9:H9998)</f>
        <v>2850857.72</v>
      </c>
      <c r="I2" s="86"/>
      <c r="J2" s="39"/>
      <c r="N2" s="333" t="s">
        <v>137</v>
      </c>
      <c r="O2" s="335"/>
      <c r="P2" s="87">
        <f>SUM(P9:P9998)</f>
        <v>1152315.2700000003</v>
      </c>
      <c r="R2" s="86"/>
      <c r="S2" s="333" t="s">
        <v>45</v>
      </c>
      <c r="T2" s="334"/>
      <c r="U2" s="335"/>
      <c r="V2" s="88">
        <f>SUM(V9:V9998)</f>
        <v>240058.2</v>
      </c>
    </row>
    <row r="3" spans="1:24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144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hidden="1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7" customFormat="1" ht="108" customHeight="1" x14ac:dyDescent="0.3">
      <c r="A9" s="391">
        <v>1</v>
      </c>
      <c r="B9" s="395" t="s">
        <v>56</v>
      </c>
      <c r="C9" s="395" t="s">
        <v>146</v>
      </c>
      <c r="D9" s="395" t="s">
        <v>147</v>
      </c>
      <c r="E9" s="395" t="s">
        <v>110</v>
      </c>
      <c r="F9" s="393">
        <v>45289</v>
      </c>
      <c r="G9" s="401" t="s">
        <v>164</v>
      </c>
      <c r="H9" s="403">
        <v>316800</v>
      </c>
      <c r="I9" s="405">
        <f>IF(X9 = 18, H9 + SUM(S9:S10) - SUM(T9:T10) - SUM(P9:P10) - V9,0)</f>
        <v>0</v>
      </c>
      <c r="J9" s="407">
        <v>2311299612</v>
      </c>
      <c r="K9" s="409" t="s">
        <v>193</v>
      </c>
      <c r="L9" s="395" t="s">
        <v>146</v>
      </c>
      <c r="M9" s="395"/>
      <c r="N9" s="183">
        <v>45322</v>
      </c>
      <c r="O9" s="393" t="s">
        <v>194</v>
      </c>
      <c r="P9" s="177">
        <v>95254.25</v>
      </c>
      <c r="Q9" s="178">
        <v>45330</v>
      </c>
      <c r="R9" s="179"/>
      <c r="S9" s="177"/>
      <c r="T9" s="177"/>
      <c r="U9" s="393">
        <v>45366</v>
      </c>
      <c r="V9" s="397">
        <v>121670</v>
      </c>
      <c r="W9" s="399"/>
      <c r="X9" s="107">
        <v>18</v>
      </c>
    </row>
    <row r="10" spans="1:24" s="2" customFormat="1" x14ac:dyDescent="0.3">
      <c r="A10" s="392"/>
      <c r="B10" s="396"/>
      <c r="C10" s="396"/>
      <c r="D10" s="396"/>
      <c r="E10" s="396"/>
      <c r="F10" s="394"/>
      <c r="G10" s="402"/>
      <c r="H10" s="404"/>
      <c r="I10" s="406"/>
      <c r="J10" s="408"/>
      <c r="K10" s="410"/>
      <c r="L10" s="396"/>
      <c r="M10" s="396"/>
      <c r="N10" s="184">
        <v>45351</v>
      </c>
      <c r="O10" s="394"/>
      <c r="P10" s="180">
        <v>99875.75</v>
      </c>
      <c r="Q10" s="181">
        <v>45357</v>
      </c>
      <c r="R10" s="182"/>
      <c r="S10" s="180"/>
      <c r="T10" s="180"/>
      <c r="U10" s="394"/>
      <c r="V10" s="398"/>
      <c r="W10" s="400"/>
      <c r="X10" s="2">
        <v>18</v>
      </c>
    </row>
    <row r="11" spans="1:24" s="107" customFormat="1" ht="36" customHeight="1" x14ac:dyDescent="0.3">
      <c r="A11" s="318">
        <v>2</v>
      </c>
      <c r="B11" s="310" t="s">
        <v>56</v>
      </c>
      <c r="C11" s="310" t="s">
        <v>146</v>
      </c>
      <c r="D11" s="310" t="s">
        <v>147</v>
      </c>
      <c r="E11" s="310" t="s">
        <v>113</v>
      </c>
      <c r="F11" s="312">
        <v>45289</v>
      </c>
      <c r="G11" s="337" t="s">
        <v>166</v>
      </c>
      <c r="H11" s="314">
        <v>38000</v>
      </c>
      <c r="I11" s="316">
        <f>IF(X11 = 19, H11 + SUM(S11:S14) - SUM(T11:T14) - SUM(P11:P14) - V11,0)</f>
        <v>27633.440000000002</v>
      </c>
      <c r="J11" s="340">
        <v>2353246210</v>
      </c>
      <c r="K11" s="343" t="s">
        <v>150</v>
      </c>
      <c r="L11" s="310" t="s">
        <v>146</v>
      </c>
      <c r="M11" s="310"/>
      <c r="N11" s="244">
        <v>45308</v>
      </c>
      <c r="O11" s="312" t="s">
        <v>167</v>
      </c>
      <c r="P11" s="235">
        <v>1314.6</v>
      </c>
      <c r="Q11" s="236">
        <v>45324</v>
      </c>
      <c r="R11" s="237"/>
      <c r="S11" s="235"/>
      <c r="T11" s="235"/>
      <c r="U11" s="314"/>
      <c r="V11" s="346"/>
      <c r="W11" s="308"/>
      <c r="X11" s="107">
        <v>19</v>
      </c>
    </row>
    <row r="12" spans="1:24" s="2" customFormat="1" x14ac:dyDescent="0.3">
      <c r="A12" s="331"/>
      <c r="B12" s="323"/>
      <c r="C12" s="323"/>
      <c r="D12" s="323"/>
      <c r="E12" s="323"/>
      <c r="F12" s="329"/>
      <c r="G12" s="338"/>
      <c r="H12" s="322"/>
      <c r="I12" s="330"/>
      <c r="J12" s="341"/>
      <c r="K12" s="344"/>
      <c r="L12" s="323"/>
      <c r="M12" s="323"/>
      <c r="N12" s="245">
        <v>45337</v>
      </c>
      <c r="O12" s="329"/>
      <c r="P12" s="238">
        <v>2741.88</v>
      </c>
      <c r="Q12" s="239">
        <v>45349</v>
      </c>
      <c r="R12" s="240"/>
      <c r="S12" s="238"/>
      <c r="T12" s="238"/>
      <c r="U12" s="322"/>
      <c r="V12" s="347"/>
      <c r="W12" s="325"/>
      <c r="X12" s="2">
        <v>19</v>
      </c>
    </row>
    <row r="13" spans="1:24" s="2" customFormat="1" x14ac:dyDescent="0.3">
      <c r="A13" s="331"/>
      <c r="B13" s="323"/>
      <c r="C13" s="323"/>
      <c r="D13" s="323"/>
      <c r="E13" s="323"/>
      <c r="F13" s="329"/>
      <c r="G13" s="338"/>
      <c r="H13" s="322"/>
      <c r="I13" s="330"/>
      <c r="J13" s="341"/>
      <c r="K13" s="344"/>
      <c r="L13" s="323"/>
      <c r="M13" s="323"/>
      <c r="N13" s="245">
        <v>45365</v>
      </c>
      <c r="O13" s="329"/>
      <c r="P13" s="238">
        <v>2253.6</v>
      </c>
      <c r="Q13" s="239">
        <v>45366</v>
      </c>
      <c r="R13" s="240"/>
      <c r="S13" s="238"/>
      <c r="T13" s="238"/>
      <c r="U13" s="322"/>
      <c r="V13" s="347"/>
      <c r="W13" s="325"/>
      <c r="X13" s="2">
        <v>19</v>
      </c>
    </row>
    <row r="14" spans="1:24" s="2" customFormat="1" x14ac:dyDescent="0.3">
      <c r="A14" s="319"/>
      <c r="B14" s="311"/>
      <c r="C14" s="311"/>
      <c r="D14" s="311"/>
      <c r="E14" s="311"/>
      <c r="F14" s="313"/>
      <c r="G14" s="339"/>
      <c r="H14" s="315"/>
      <c r="I14" s="317"/>
      <c r="J14" s="342"/>
      <c r="K14" s="345"/>
      <c r="L14" s="311"/>
      <c r="M14" s="311"/>
      <c r="N14" s="246">
        <v>45400</v>
      </c>
      <c r="O14" s="313"/>
      <c r="P14" s="241">
        <v>4056.48</v>
      </c>
      <c r="Q14" s="242">
        <v>45406</v>
      </c>
      <c r="R14" s="243"/>
      <c r="S14" s="241"/>
      <c r="T14" s="241"/>
      <c r="U14" s="315"/>
      <c r="V14" s="348"/>
      <c r="W14" s="309"/>
      <c r="X14" s="2">
        <v>19</v>
      </c>
    </row>
    <row r="15" spans="1:24" s="107" customFormat="1" ht="37.5" customHeight="1" x14ac:dyDescent="0.3">
      <c r="A15" s="318">
        <v>3</v>
      </c>
      <c r="B15" s="310" t="s">
        <v>56</v>
      </c>
      <c r="C15" s="310" t="s">
        <v>146</v>
      </c>
      <c r="D15" s="310" t="s">
        <v>171</v>
      </c>
      <c r="E15" s="310" t="s">
        <v>172</v>
      </c>
      <c r="F15" s="312">
        <v>45289</v>
      </c>
      <c r="G15" s="337" t="s">
        <v>168</v>
      </c>
      <c r="H15" s="314">
        <v>378918.36</v>
      </c>
      <c r="I15" s="316">
        <f>IF(X15 = 20, H15 + SUM(S15:S24) - SUM(T15:T24) - SUM(P15:P24) - V15,0)</f>
        <v>188498.49999999997</v>
      </c>
      <c r="J15" s="340">
        <v>2308119595</v>
      </c>
      <c r="K15" s="343" t="s">
        <v>149</v>
      </c>
      <c r="L15" s="310" t="s">
        <v>146</v>
      </c>
      <c r="M15" s="310"/>
      <c r="N15" s="244">
        <v>45292</v>
      </c>
      <c r="O15" s="312" t="s">
        <v>169</v>
      </c>
      <c r="P15" s="235">
        <v>14788.98</v>
      </c>
      <c r="Q15" s="236">
        <v>45309</v>
      </c>
      <c r="R15" s="237"/>
      <c r="S15" s="235"/>
      <c r="T15" s="235"/>
      <c r="U15" s="314"/>
      <c r="V15" s="346"/>
      <c r="W15" s="308"/>
      <c r="X15" s="107">
        <v>20</v>
      </c>
    </row>
    <row r="16" spans="1:24" s="2" customFormat="1" x14ac:dyDescent="0.3">
      <c r="A16" s="331"/>
      <c r="B16" s="323"/>
      <c r="C16" s="323"/>
      <c r="D16" s="323"/>
      <c r="E16" s="323"/>
      <c r="F16" s="329"/>
      <c r="G16" s="338"/>
      <c r="H16" s="322"/>
      <c r="I16" s="330"/>
      <c r="J16" s="341"/>
      <c r="K16" s="344"/>
      <c r="L16" s="323"/>
      <c r="M16" s="323"/>
      <c r="N16" s="245">
        <v>45323</v>
      </c>
      <c r="O16" s="329"/>
      <c r="P16" s="238">
        <v>11091.73</v>
      </c>
      <c r="Q16" s="239">
        <v>45323</v>
      </c>
      <c r="R16" s="240"/>
      <c r="S16" s="238"/>
      <c r="T16" s="238"/>
      <c r="U16" s="322"/>
      <c r="V16" s="347"/>
      <c r="W16" s="325"/>
      <c r="X16" s="2">
        <v>20</v>
      </c>
    </row>
    <row r="17" spans="1:24" s="2" customFormat="1" x14ac:dyDescent="0.3">
      <c r="A17" s="331"/>
      <c r="B17" s="323"/>
      <c r="C17" s="323"/>
      <c r="D17" s="323"/>
      <c r="E17" s="323"/>
      <c r="F17" s="329"/>
      <c r="G17" s="338"/>
      <c r="H17" s="322"/>
      <c r="I17" s="330"/>
      <c r="J17" s="341"/>
      <c r="K17" s="344"/>
      <c r="L17" s="323"/>
      <c r="M17" s="323"/>
      <c r="N17" s="245">
        <v>45322</v>
      </c>
      <c r="O17" s="329"/>
      <c r="P17" s="238">
        <v>24763.91</v>
      </c>
      <c r="Q17" s="239">
        <v>45337</v>
      </c>
      <c r="R17" s="240"/>
      <c r="S17" s="238"/>
      <c r="T17" s="238"/>
      <c r="U17" s="322"/>
      <c r="V17" s="347"/>
      <c r="W17" s="325"/>
      <c r="X17" s="2">
        <v>20</v>
      </c>
    </row>
    <row r="18" spans="1:24" s="2" customFormat="1" x14ac:dyDescent="0.3">
      <c r="A18" s="331"/>
      <c r="B18" s="323"/>
      <c r="C18" s="323"/>
      <c r="D18" s="323"/>
      <c r="E18" s="323"/>
      <c r="F18" s="329"/>
      <c r="G18" s="338"/>
      <c r="H18" s="322"/>
      <c r="I18" s="330"/>
      <c r="J18" s="341"/>
      <c r="K18" s="344"/>
      <c r="L18" s="323"/>
      <c r="M18" s="323"/>
      <c r="N18" s="245">
        <v>45323</v>
      </c>
      <c r="O18" s="329"/>
      <c r="P18" s="238">
        <v>23574.47</v>
      </c>
      <c r="Q18" s="239">
        <v>45337</v>
      </c>
      <c r="R18" s="240"/>
      <c r="S18" s="238"/>
      <c r="T18" s="238"/>
      <c r="U18" s="322"/>
      <c r="V18" s="347"/>
      <c r="W18" s="325"/>
      <c r="X18" s="2">
        <v>20</v>
      </c>
    </row>
    <row r="19" spans="1:24" s="2" customFormat="1" x14ac:dyDescent="0.3">
      <c r="A19" s="331"/>
      <c r="B19" s="323"/>
      <c r="C19" s="323"/>
      <c r="D19" s="323"/>
      <c r="E19" s="323"/>
      <c r="F19" s="329"/>
      <c r="G19" s="338"/>
      <c r="H19" s="322"/>
      <c r="I19" s="330"/>
      <c r="J19" s="341"/>
      <c r="K19" s="344"/>
      <c r="L19" s="323"/>
      <c r="M19" s="323"/>
      <c r="N19" s="245">
        <v>45352</v>
      </c>
      <c r="O19" s="329"/>
      <c r="P19" s="238">
        <v>17677.57</v>
      </c>
      <c r="Q19" s="239">
        <v>45352</v>
      </c>
      <c r="R19" s="240"/>
      <c r="S19" s="238"/>
      <c r="T19" s="238"/>
      <c r="U19" s="322"/>
      <c r="V19" s="347"/>
      <c r="W19" s="325"/>
      <c r="X19" s="2">
        <v>20</v>
      </c>
    </row>
    <row r="20" spans="1:24" s="2" customFormat="1" x14ac:dyDescent="0.3">
      <c r="A20" s="331"/>
      <c r="B20" s="323"/>
      <c r="C20" s="323"/>
      <c r="D20" s="323"/>
      <c r="E20" s="323"/>
      <c r="F20" s="329"/>
      <c r="G20" s="338"/>
      <c r="H20" s="322"/>
      <c r="I20" s="330"/>
      <c r="J20" s="341"/>
      <c r="K20" s="344"/>
      <c r="L20" s="323"/>
      <c r="M20" s="323"/>
      <c r="N20" s="245">
        <v>45351</v>
      </c>
      <c r="O20" s="329"/>
      <c r="P20" s="238">
        <v>23828.47</v>
      </c>
      <c r="Q20" s="239">
        <v>45365</v>
      </c>
      <c r="R20" s="240"/>
      <c r="S20" s="238"/>
      <c r="T20" s="238"/>
      <c r="U20" s="322"/>
      <c r="V20" s="347"/>
      <c r="W20" s="325"/>
      <c r="X20" s="2">
        <v>20</v>
      </c>
    </row>
    <row r="21" spans="1:24" s="2" customFormat="1" x14ac:dyDescent="0.3">
      <c r="A21" s="331"/>
      <c r="B21" s="323"/>
      <c r="C21" s="323"/>
      <c r="D21" s="323"/>
      <c r="E21" s="323"/>
      <c r="F21" s="329"/>
      <c r="G21" s="338"/>
      <c r="H21" s="322"/>
      <c r="I21" s="330"/>
      <c r="J21" s="341"/>
      <c r="K21" s="344"/>
      <c r="L21" s="323"/>
      <c r="M21" s="323"/>
      <c r="N21" s="245">
        <v>45352</v>
      </c>
      <c r="O21" s="329"/>
      <c r="P21" s="238">
        <v>25693.51</v>
      </c>
      <c r="Q21" s="239">
        <v>45365</v>
      </c>
      <c r="R21" s="240"/>
      <c r="S21" s="238"/>
      <c r="T21" s="238"/>
      <c r="U21" s="322"/>
      <c r="V21" s="347"/>
      <c r="W21" s="325"/>
      <c r="X21" s="2">
        <v>20</v>
      </c>
    </row>
    <row r="22" spans="1:24" s="2" customFormat="1" x14ac:dyDescent="0.3">
      <c r="A22" s="331"/>
      <c r="B22" s="323"/>
      <c r="C22" s="323"/>
      <c r="D22" s="323"/>
      <c r="E22" s="323"/>
      <c r="F22" s="329"/>
      <c r="G22" s="338"/>
      <c r="H22" s="322"/>
      <c r="I22" s="330"/>
      <c r="J22" s="341"/>
      <c r="K22" s="344"/>
      <c r="L22" s="323"/>
      <c r="M22" s="323"/>
      <c r="N22" s="245">
        <v>45383</v>
      </c>
      <c r="O22" s="329"/>
      <c r="P22" s="238">
        <v>19266.78</v>
      </c>
      <c r="Q22" s="239">
        <v>45383</v>
      </c>
      <c r="R22" s="240"/>
      <c r="S22" s="238"/>
      <c r="T22" s="238"/>
      <c r="U22" s="322"/>
      <c r="V22" s="347"/>
      <c r="W22" s="325"/>
      <c r="X22" s="2">
        <v>20</v>
      </c>
    </row>
    <row r="23" spans="1:24" s="2" customFormat="1" x14ac:dyDescent="0.3">
      <c r="A23" s="331"/>
      <c r="B23" s="323"/>
      <c r="C23" s="323"/>
      <c r="D23" s="323"/>
      <c r="E23" s="323"/>
      <c r="F23" s="329"/>
      <c r="G23" s="338"/>
      <c r="H23" s="322"/>
      <c r="I23" s="330"/>
      <c r="J23" s="341"/>
      <c r="K23" s="344"/>
      <c r="L23" s="323"/>
      <c r="M23" s="323"/>
      <c r="N23" s="245">
        <v>45382</v>
      </c>
      <c r="O23" s="329"/>
      <c r="P23" s="238">
        <v>7373.75</v>
      </c>
      <c r="Q23" s="239">
        <v>45399</v>
      </c>
      <c r="R23" s="240"/>
      <c r="S23" s="238"/>
      <c r="T23" s="238"/>
      <c r="U23" s="322"/>
      <c r="V23" s="347"/>
      <c r="W23" s="325"/>
      <c r="X23" s="2">
        <v>20</v>
      </c>
    </row>
    <row r="24" spans="1:24" s="2" customFormat="1" x14ac:dyDescent="0.3">
      <c r="A24" s="319"/>
      <c r="B24" s="311"/>
      <c r="C24" s="311"/>
      <c r="D24" s="311"/>
      <c r="E24" s="311"/>
      <c r="F24" s="313"/>
      <c r="G24" s="339"/>
      <c r="H24" s="315"/>
      <c r="I24" s="317"/>
      <c r="J24" s="342"/>
      <c r="K24" s="345"/>
      <c r="L24" s="311"/>
      <c r="M24" s="311"/>
      <c r="N24" s="246">
        <v>45383</v>
      </c>
      <c r="O24" s="313"/>
      <c r="P24" s="241">
        <v>22360.69</v>
      </c>
      <c r="Q24" s="242">
        <v>45399</v>
      </c>
      <c r="R24" s="243"/>
      <c r="S24" s="241"/>
      <c r="T24" s="241"/>
      <c r="U24" s="315"/>
      <c r="V24" s="348"/>
      <c r="W24" s="309"/>
      <c r="X24" s="2">
        <v>20</v>
      </c>
    </row>
    <row r="25" spans="1:24" s="107" customFormat="1" ht="72" customHeight="1" x14ac:dyDescent="0.3">
      <c r="A25" s="318">
        <v>4</v>
      </c>
      <c r="B25" s="310" t="s">
        <v>56</v>
      </c>
      <c r="C25" s="310" t="s">
        <v>146</v>
      </c>
      <c r="D25" s="310" t="s">
        <v>147</v>
      </c>
      <c r="E25" s="310" t="s">
        <v>173</v>
      </c>
      <c r="F25" s="312">
        <v>45289</v>
      </c>
      <c r="G25" s="337" t="s">
        <v>148</v>
      </c>
      <c r="H25" s="314">
        <v>46882.29</v>
      </c>
      <c r="I25" s="316">
        <f>IF(X25 = 21, H25 + SUM(S25:S27) - SUM(T25:T27) - SUM(P25:P27) - V25,0)</f>
        <v>35568.18</v>
      </c>
      <c r="J25" s="340">
        <v>2308131994</v>
      </c>
      <c r="K25" s="343" t="s">
        <v>162</v>
      </c>
      <c r="L25" s="310" t="s">
        <v>146</v>
      </c>
      <c r="M25" s="310"/>
      <c r="N25" s="244">
        <v>45322</v>
      </c>
      <c r="O25" s="312" t="s">
        <v>170</v>
      </c>
      <c r="P25" s="235">
        <v>3771.37</v>
      </c>
      <c r="Q25" s="236">
        <v>45324</v>
      </c>
      <c r="R25" s="237"/>
      <c r="S25" s="235"/>
      <c r="T25" s="235"/>
      <c r="U25" s="314"/>
      <c r="V25" s="346"/>
      <c r="W25" s="308"/>
      <c r="X25" s="107">
        <v>21</v>
      </c>
    </row>
    <row r="26" spans="1:24" s="2" customFormat="1" x14ac:dyDescent="0.3">
      <c r="A26" s="331"/>
      <c r="B26" s="323"/>
      <c r="C26" s="323"/>
      <c r="D26" s="323"/>
      <c r="E26" s="323"/>
      <c r="F26" s="329"/>
      <c r="G26" s="338"/>
      <c r="H26" s="322"/>
      <c r="I26" s="330"/>
      <c r="J26" s="341"/>
      <c r="K26" s="344"/>
      <c r="L26" s="323"/>
      <c r="M26" s="323"/>
      <c r="N26" s="245">
        <v>45351</v>
      </c>
      <c r="O26" s="329"/>
      <c r="P26" s="238">
        <v>3771.37</v>
      </c>
      <c r="Q26" s="239">
        <v>45357</v>
      </c>
      <c r="R26" s="240"/>
      <c r="S26" s="238"/>
      <c r="T26" s="238"/>
      <c r="U26" s="322"/>
      <c r="V26" s="347"/>
      <c r="W26" s="325"/>
      <c r="X26" s="2">
        <v>21</v>
      </c>
    </row>
    <row r="27" spans="1:24" s="2" customFormat="1" x14ac:dyDescent="0.3">
      <c r="A27" s="319"/>
      <c r="B27" s="311"/>
      <c r="C27" s="311"/>
      <c r="D27" s="311"/>
      <c r="E27" s="311"/>
      <c r="F27" s="313"/>
      <c r="G27" s="339"/>
      <c r="H27" s="315"/>
      <c r="I27" s="317"/>
      <c r="J27" s="342"/>
      <c r="K27" s="345"/>
      <c r="L27" s="311"/>
      <c r="M27" s="311"/>
      <c r="N27" s="246">
        <v>45382</v>
      </c>
      <c r="O27" s="313"/>
      <c r="P27" s="241">
        <v>3771.37</v>
      </c>
      <c r="Q27" s="242">
        <v>45383</v>
      </c>
      <c r="R27" s="243"/>
      <c r="S27" s="241"/>
      <c r="T27" s="241"/>
      <c r="U27" s="315"/>
      <c r="V27" s="348"/>
      <c r="W27" s="309"/>
      <c r="X27" s="2">
        <v>21</v>
      </c>
    </row>
    <row r="28" spans="1:24" s="107" customFormat="1" ht="187.5" customHeight="1" x14ac:dyDescent="0.3">
      <c r="A28" s="379">
        <v>5</v>
      </c>
      <c r="B28" s="388" t="s">
        <v>56</v>
      </c>
      <c r="C28" s="388" t="s">
        <v>146</v>
      </c>
      <c r="D28" s="388" t="s">
        <v>147</v>
      </c>
      <c r="E28" s="388" t="s">
        <v>36</v>
      </c>
      <c r="F28" s="381">
        <v>45289</v>
      </c>
      <c r="G28" s="417" t="s">
        <v>197</v>
      </c>
      <c r="H28" s="385">
        <v>17500</v>
      </c>
      <c r="I28" s="420">
        <f>IF(X28 = 22, H28 + SUM(S28:S32) - SUM(T28:T32) - SUM(P28:P32) - V28,0)</f>
        <v>10000</v>
      </c>
      <c r="J28" s="423">
        <v>235301271520</v>
      </c>
      <c r="K28" s="426" t="s">
        <v>158</v>
      </c>
      <c r="L28" s="388" t="s">
        <v>146</v>
      </c>
      <c r="M28" s="388"/>
      <c r="N28" s="129">
        <v>45315</v>
      </c>
      <c r="O28" s="381" t="s">
        <v>194</v>
      </c>
      <c r="P28" s="130">
        <v>2500</v>
      </c>
      <c r="Q28" s="131">
        <v>45316</v>
      </c>
      <c r="R28" s="132"/>
      <c r="S28" s="130"/>
      <c r="T28" s="130"/>
      <c r="U28" s="385"/>
      <c r="V28" s="411"/>
      <c r="W28" s="414"/>
      <c r="X28" s="107">
        <v>22</v>
      </c>
    </row>
    <row r="29" spans="1:24" s="2" customFormat="1" x14ac:dyDescent="0.3">
      <c r="A29" s="380"/>
      <c r="B29" s="389"/>
      <c r="C29" s="389"/>
      <c r="D29" s="389"/>
      <c r="E29" s="389"/>
      <c r="F29" s="382"/>
      <c r="G29" s="418"/>
      <c r="H29" s="386"/>
      <c r="I29" s="421"/>
      <c r="J29" s="424"/>
      <c r="K29" s="427"/>
      <c r="L29" s="389"/>
      <c r="M29" s="389"/>
      <c r="N29" s="137">
        <v>45349</v>
      </c>
      <c r="O29" s="382"/>
      <c r="P29" s="138">
        <v>2500</v>
      </c>
      <c r="Q29" s="139">
        <v>45349</v>
      </c>
      <c r="R29" s="140"/>
      <c r="S29" s="138"/>
      <c r="T29" s="138"/>
      <c r="U29" s="386"/>
      <c r="V29" s="412"/>
      <c r="W29" s="415"/>
      <c r="X29" s="2">
        <v>22</v>
      </c>
    </row>
    <row r="30" spans="1:24" s="2" customFormat="1" x14ac:dyDescent="0.3">
      <c r="A30" s="380"/>
      <c r="B30" s="389"/>
      <c r="C30" s="389"/>
      <c r="D30" s="389"/>
      <c r="E30" s="389"/>
      <c r="F30" s="382"/>
      <c r="G30" s="418"/>
      <c r="H30" s="386"/>
      <c r="I30" s="421"/>
      <c r="J30" s="424"/>
      <c r="K30" s="427"/>
      <c r="L30" s="389"/>
      <c r="M30" s="389"/>
      <c r="N30" s="137">
        <v>45376</v>
      </c>
      <c r="O30" s="382"/>
      <c r="P30" s="138">
        <v>2500</v>
      </c>
      <c r="Q30" s="139">
        <v>45379</v>
      </c>
      <c r="R30" s="140"/>
      <c r="S30" s="138"/>
      <c r="T30" s="138"/>
      <c r="U30" s="386"/>
      <c r="V30" s="412"/>
      <c r="W30" s="415"/>
      <c r="X30" s="2">
        <v>22</v>
      </c>
    </row>
    <row r="31" spans="1:24" s="2" customFormat="1" x14ac:dyDescent="0.3">
      <c r="A31" s="380"/>
      <c r="B31" s="389"/>
      <c r="C31" s="389"/>
      <c r="D31" s="389"/>
      <c r="E31" s="389"/>
      <c r="F31" s="382"/>
      <c r="G31" s="418"/>
      <c r="H31" s="386"/>
      <c r="I31" s="421"/>
      <c r="J31" s="424"/>
      <c r="K31" s="427"/>
      <c r="L31" s="389"/>
      <c r="M31" s="389"/>
      <c r="N31" s="137"/>
      <c r="O31" s="382"/>
      <c r="P31" s="138"/>
      <c r="Q31" s="139"/>
      <c r="R31" s="140"/>
      <c r="S31" s="138"/>
      <c r="T31" s="138"/>
      <c r="U31" s="386"/>
      <c r="V31" s="412"/>
      <c r="W31" s="415"/>
      <c r="X31" s="2">
        <v>22</v>
      </c>
    </row>
    <row r="32" spans="1:24" s="2" customFormat="1" x14ac:dyDescent="0.3">
      <c r="A32" s="380"/>
      <c r="B32" s="389"/>
      <c r="C32" s="389"/>
      <c r="D32" s="389"/>
      <c r="E32" s="389"/>
      <c r="F32" s="382"/>
      <c r="G32" s="418"/>
      <c r="H32" s="386"/>
      <c r="I32" s="421"/>
      <c r="J32" s="424"/>
      <c r="K32" s="427"/>
      <c r="L32" s="389"/>
      <c r="M32" s="389"/>
      <c r="N32" s="137"/>
      <c r="O32" s="382"/>
      <c r="P32" s="138"/>
      <c r="Q32" s="139"/>
      <c r="R32" s="140"/>
      <c r="S32" s="138"/>
      <c r="T32" s="138"/>
      <c r="U32" s="386"/>
      <c r="V32" s="412"/>
      <c r="W32" s="415"/>
      <c r="X32" s="2">
        <v>22</v>
      </c>
    </row>
    <row r="33" spans="1:24" s="107" customFormat="1" ht="187.5" customHeight="1" x14ac:dyDescent="0.3">
      <c r="A33" s="379">
        <v>6</v>
      </c>
      <c r="B33" s="388" t="s">
        <v>56</v>
      </c>
      <c r="C33" s="388" t="s">
        <v>146</v>
      </c>
      <c r="D33" s="388" t="s">
        <v>147</v>
      </c>
      <c r="E33" s="388" t="s">
        <v>111</v>
      </c>
      <c r="F33" s="381">
        <v>45289</v>
      </c>
      <c r="G33" s="417" t="s">
        <v>198</v>
      </c>
      <c r="H33" s="385">
        <v>26400</v>
      </c>
      <c r="I33" s="420">
        <f>IF(X33 = 23, H33 + SUM(S33:S37) - SUM(T33:T37) - SUM(P33:P37) - V33,0)</f>
        <v>19800</v>
      </c>
      <c r="J33" s="423">
        <v>231107998282</v>
      </c>
      <c r="K33" s="426" t="s">
        <v>199</v>
      </c>
      <c r="L33" s="388" t="s">
        <v>146</v>
      </c>
      <c r="M33" s="388"/>
      <c r="N33" s="129">
        <v>45315</v>
      </c>
      <c r="O33" s="381" t="s">
        <v>194</v>
      </c>
      <c r="P33" s="130">
        <v>2200</v>
      </c>
      <c r="Q33" s="131">
        <v>45324</v>
      </c>
      <c r="R33" s="132"/>
      <c r="S33" s="130"/>
      <c r="T33" s="130"/>
      <c r="U33" s="385"/>
      <c r="V33" s="411"/>
      <c r="W33" s="414"/>
      <c r="X33" s="107">
        <v>23</v>
      </c>
    </row>
    <row r="34" spans="1:24" s="2" customFormat="1" x14ac:dyDescent="0.3">
      <c r="A34" s="380"/>
      <c r="B34" s="389"/>
      <c r="C34" s="389"/>
      <c r="D34" s="389"/>
      <c r="E34" s="389"/>
      <c r="F34" s="382"/>
      <c r="G34" s="418"/>
      <c r="H34" s="386"/>
      <c r="I34" s="421"/>
      <c r="J34" s="424"/>
      <c r="K34" s="427"/>
      <c r="L34" s="389"/>
      <c r="M34" s="389"/>
      <c r="N34" s="137">
        <v>45351</v>
      </c>
      <c r="O34" s="382"/>
      <c r="P34" s="138">
        <v>2200</v>
      </c>
      <c r="Q34" s="139">
        <v>45351</v>
      </c>
      <c r="R34" s="140"/>
      <c r="S34" s="138"/>
      <c r="T34" s="138"/>
      <c r="U34" s="386"/>
      <c r="V34" s="412"/>
      <c r="W34" s="415"/>
      <c r="X34" s="2">
        <v>23</v>
      </c>
    </row>
    <row r="35" spans="1:24" s="2" customFormat="1" x14ac:dyDescent="0.3">
      <c r="A35" s="380"/>
      <c r="B35" s="389"/>
      <c r="C35" s="389"/>
      <c r="D35" s="389"/>
      <c r="E35" s="389"/>
      <c r="F35" s="382"/>
      <c r="G35" s="418"/>
      <c r="H35" s="386"/>
      <c r="I35" s="421"/>
      <c r="J35" s="424"/>
      <c r="K35" s="427"/>
      <c r="L35" s="389"/>
      <c r="M35" s="389"/>
      <c r="N35" s="137">
        <v>45382</v>
      </c>
      <c r="O35" s="382"/>
      <c r="P35" s="138">
        <v>2200</v>
      </c>
      <c r="Q35" s="139">
        <v>45383</v>
      </c>
      <c r="R35" s="140"/>
      <c r="S35" s="138"/>
      <c r="T35" s="138"/>
      <c r="U35" s="386"/>
      <c r="V35" s="412"/>
      <c r="W35" s="415"/>
      <c r="X35" s="2">
        <v>23</v>
      </c>
    </row>
    <row r="36" spans="1:24" s="2" customFormat="1" x14ac:dyDescent="0.3">
      <c r="A36" s="380"/>
      <c r="B36" s="389"/>
      <c r="C36" s="389"/>
      <c r="D36" s="389"/>
      <c r="E36" s="389"/>
      <c r="F36" s="382"/>
      <c r="G36" s="418"/>
      <c r="H36" s="386"/>
      <c r="I36" s="421"/>
      <c r="J36" s="424"/>
      <c r="K36" s="427"/>
      <c r="L36" s="389"/>
      <c r="M36" s="389"/>
      <c r="N36" s="137"/>
      <c r="O36" s="382"/>
      <c r="P36" s="138"/>
      <c r="Q36" s="139"/>
      <c r="R36" s="140"/>
      <c r="S36" s="138"/>
      <c r="T36" s="138"/>
      <c r="U36" s="386"/>
      <c r="V36" s="412"/>
      <c r="W36" s="415"/>
      <c r="X36" s="2">
        <v>23</v>
      </c>
    </row>
    <row r="37" spans="1:24" s="2" customFormat="1" x14ac:dyDescent="0.3">
      <c r="A37" s="383"/>
      <c r="B37" s="390"/>
      <c r="C37" s="390"/>
      <c r="D37" s="390"/>
      <c r="E37" s="390"/>
      <c r="F37" s="384"/>
      <c r="G37" s="419"/>
      <c r="H37" s="387"/>
      <c r="I37" s="422"/>
      <c r="J37" s="425"/>
      <c r="K37" s="428"/>
      <c r="L37" s="390"/>
      <c r="M37" s="390"/>
      <c r="N37" s="133"/>
      <c r="O37" s="384"/>
      <c r="P37" s="134"/>
      <c r="Q37" s="135"/>
      <c r="R37" s="136"/>
      <c r="S37" s="134"/>
      <c r="T37" s="134"/>
      <c r="U37" s="387"/>
      <c r="V37" s="413"/>
      <c r="W37" s="416"/>
      <c r="X37" s="2">
        <v>23</v>
      </c>
    </row>
    <row r="38" spans="1:24" s="107" customFormat="1" ht="108" x14ac:dyDescent="0.3">
      <c r="A38" s="119">
        <v>7</v>
      </c>
      <c r="B38" s="120" t="s">
        <v>56</v>
      </c>
      <c r="C38" s="120" t="s">
        <v>146</v>
      </c>
      <c r="D38" s="120" t="s">
        <v>177</v>
      </c>
      <c r="E38" s="120" t="s">
        <v>195</v>
      </c>
      <c r="F38" s="128">
        <v>45289</v>
      </c>
      <c r="G38" s="121" t="s">
        <v>196</v>
      </c>
      <c r="H38" s="122">
        <v>1200</v>
      </c>
      <c r="I38" s="123">
        <f>IF(X38 = 24, H38 + SUM(S38:S38) - SUM(T38:T38) - SUM(P38:P38) - V38,0)</f>
        <v>0</v>
      </c>
      <c r="J38" s="124">
        <v>2369000660</v>
      </c>
      <c r="K38" s="125" t="s">
        <v>157</v>
      </c>
      <c r="L38" s="120" t="s">
        <v>146</v>
      </c>
      <c r="M38" s="120"/>
      <c r="N38" s="128"/>
      <c r="O38" s="128" t="s">
        <v>194</v>
      </c>
      <c r="P38" s="122">
        <v>1200</v>
      </c>
      <c r="Q38" s="121">
        <v>45351</v>
      </c>
      <c r="R38" s="120"/>
      <c r="S38" s="122"/>
      <c r="T38" s="122"/>
      <c r="U38" s="122"/>
      <c r="V38" s="126"/>
      <c r="W38" s="127"/>
      <c r="X38" s="107">
        <v>24</v>
      </c>
    </row>
    <row r="39" spans="1:24" s="107" customFormat="1" ht="131.25" customHeight="1" x14ac:dyDescent="0.3">
      <c r="A39" s="318">
        <v>8</v>
      </c>
      <c r="B39" s="310" t="s">
        <v>56</v>
      </c>
      <c r="C39" s="310" t="s">
        <v>146</v>
      </c>
      <c r="D39" s="310" t="s">
        <v>178</v>
      </c>
      <c r="E39" s="310" t="s">
        <v>110</v>
      </c>
      <c r="F39" s="312">
        <v>45289</v>
      </c>
      <c r="G39" s="337" t="s">
        <v>200</v>
      </c>
      <c r="H39" s="314">
        <v>15600</v>
      </c>
      <c r="I39" s="316">
        <f>IF(X39 = 25, H39 + SUM(S39:S41) - SUM(T39:T41) - SUM(P39:P41) - V39,0)</f>
        <v>11700</v>
      </c>
      <c r="J39" s="340">
        <v>231107998282</v>
      </c>
      <c r="K39" s="343" t="s">
        <v>199</v>
      </c>
      <c r="L39" s="310" t="s">
        <v>146</v>
      </c>
      <c r="M39" s="310"/>
      <c r="N39" s="244">
        <v>45315</v>
      </c>
      <c r="O39" s="312" t="s">
        <v>194</v>
      </c>
      <c r="P39" s="235">
        <v>1300</v>
      </c>
      <c r="Q39" s="236">
        <v>45324</v>
      </c>
      <c r="R39" s="237"/>
      <c r="S39" s="235"/>
      <c r="T39" s="235"/>
      <c r="U39" s="314"/>
      <c r="V39" s="346"/>
      <c r="W39" s="308"/>
      <c r="X39" s="107">
        <v>25</v>
      </c>
    </row>
    <row r="40" spans="1:24" s="2" customFormat="1" x14ac:dyDescent="0.3">
      <c r="A40" s="331"/>
      <c r="B40" s="323"/>
      <c r="C40" s="323"/>
      <c r="D40" s="323"/>
      <c r="E40" s="323"/>
      <c r="F40" s="329"/>
      <c r="G40" s="338"/>
      <c r="H40" s="322"/>
      <c r="I40" s="330"/>
      <c r="J40" s="341"/>
      <c r="K40" s="344"/>
      <c r="L40" s="323"/>
      <c r="M40" s="323"/>
      <c r="N40" s="245">
        <v>45351</v>
      </c>
      <c r="O40" s="329"/>
      <c r="P40" s="238">
        <v>1300</v>
      </c>
      <c r="Q40" s="239">
        <v>45351</v>
      </c>
      <c r="R40" s="240"/>
      <c r="S40" s="238"/>
      <c r="T40" s="238"/>
      <c r="U40" s="322"/>
      <c r="V40" s="347"/>
      <c r="W40" s="325"/>
      <c r="X40" s="2">
        <v>25</v>
      </c>
    </row>
    <row r="41" spans="1:24" s="2" customFormat="1" x14ac:dyDescent="0.3">
      <c r="A41" s="319"/>
      <c r="B41" s="311"/>
      <c r="C41" s="311"/>
      <c r="D41" s="311"/>
      <c r="E41" s="311"/>
      <c r="F41" s="313"/>
      <c r="G41" s="339"/>
      <c r="H41" s="315"/>
      <c r="I41" s="317"/>
      <c r="J41" s="342"/>
      <c r="K41" s="345"/>
      <c r="L41" s="311"/>
      <c r="M41" s="311"/>
      <c r="N41" s="246">
        <v>45382</v>
      </c>
      <c r="O41" s="313"/>
      <c r="P41" s="241">
        <v>1300</v>
      </c>
      <c r="Q41" s="242">
        <v>45383</v>
      </c>
      <c r="R41" s="243"/>
      <c r="S41" s="241"/>
      <c r="T41" s="241"/>
      <c r="U41" s="315"/>
      <c r="V41" s="348"/>
      <c r="W41" s="309"/>
      <c r="X41" s="2">
        <v>25</v>
      </c>
    </row>
    <row r="42" spans="1:24" s="107" customFormat="1" ht="108" customHeight="1" x14ac:dyDescent="0.3">
      <c r="A42" s="318">
        <v>9</v>
      </c>
      <c r="B42" s="310" t="s">
        <v>56</v>
      </c>
      <c r="C42" s="310" t="s">
        <v>146</v>
      </c>
      <c r="D42" s="310" t="s">
        <v>147</v>
      </c>
      <c r="E42" s="310" t="s">
        <v>112</v>
      </c>
      <c r="F42" s="312">
        <v>45289</v>
      </c>
      <c r="G42" s="337" t="s">
        <v>201</v>
      </c>
      <c r="H42" s="314">
        <v>205534.8</v>
      </c>
      <c r="I42" s="316">
        <f>IF(X42 = 26, H42 + SUM(S42:S66) - SUM(T42:T66) - SUM(P42:P66) - V42,0)</f>
        <v>-1.4551915228366852E-11</v>
      </c>
      <c r="J42" s="340">
        <v>2353020735</v>
      </c>
      <c r="K42" s="343" t="s">
        <v>156</v>
      </c>
      <c r="L42" s="310" t="s">
        <v>146</v>
      </c>
      <c r="M42" s="310"/>
      <c r="N42" s="244">
        <v>45322</v>
      </c>
      <c r="O42" s="312" t="s">
        <v>194</v>
      </c>
      <c r="P42" s="235">
        <v>450</v>
      </c>
      <c r="Q42" s="236">
        <v>45334</v>
      </c>
      <c r="R42" s="237"/>
      <c r="S42" s="235"/>
      <c r="T42" s="235"/>
      <c r="U42" s="314" t="s">
        <v>279</v>
      </c>
      <c r="V42" s="346">
        <v>52977.2</v>
      </c>
      <c r="W42" s="308"/>
      <c r="X42" s="107">
        <v>26</v>
      </c>
    </row>
    <row r="43" spans="1:24" s="2" customFormat="1" x14ac:dyDescent="0.3">
      <c r="A43" s="331"/>
      <c r="B43" s="323"/>
      <c r="C43" s="323"/>
      <c r="D43" s="323"/>
      <c r="E43" s="323"/>
      <c r="F43" s="329"/>
      <c r="G43" s="338"/>
      <c r="H43" s="322"/>
      <c r="I43" s="330"/>
      <c r="J43" s="341"/>
      <c r="K43" s="344"/>
      <c r="L43" s="323"/>
      <c r="M43" s="323"/>
      <c r="N43" s="245">
        <v>45322</v>
      </c>
      <c r="O43" s="329"/>
      <c r="P43" s="238">
        <v>1413</v>
      </c>
      <c r="Q43" s="239">
        <v>45334</v>
      </c>
      <c r="R43" s="240"/>
      <c r="S43" s="238"/>
      <c r="T43" s="238"/>
      <c r="U43" s="322"/>
      <c r="V43" s="347"/>
      <c r="W43" s="325"/>
      <c r="X43" s="2">
        <v>26</v>
      </c>
    </row>
    <row r="44" spans="1:24" s="2" customFormat="1" x14ac:dyDescent="0.3">
      <c r="A44" s="331"/>
      <c r="B44" s="323"/>
      <c r="C44" s="323"/>
      <c r="D44" s="323"/>
      <c r="E44" s="323"/>
      <c r="F44" s="329"/>
      <c r="G44" s="338"/>
      <c r="H44" s="322"/>
      <c r="I44" s="330"/>
      <c r="J44" s="341"/>
      <c r="K44" s="344"/>
      <c r="L44" s="323"/>
      <c r="M44" s="323"/>
      <c r="N44" s="245">
        <v>45322</v>
      </c>
      <c r="O44" s="329"/>
      <c r="P44" s="238">
        <v>2998.4</v>
      </c>
      <c r="Q44" s="239">
        <v>45334</v>
      </c>
      <c r="R44" s="240"/>
      <c r="S44" s="238"/>
      <c r="T44" s="238"/>
      <c r="U44" s="322"/>
      <c r="V44" s="347"/>
      <c r="W44" s="325"/>
      <c r="X44" s="2">
        <v>26</v>
      </c>
    </row>
    <row r="45" spans="1:24" s="2" customFormat="1" x14ac:dyDescent="0.3">
      <c r="A45" s="331"/>
      <c r="B45" s="323"/>
      <c r="C45" s="323"/>
      <c r="D45" s="323"/>
      <c r="E45" s="323"/>
      <c r="F45" s="329"/>
      <c r="G45" s="338"/>
      <c r="H45" s="322"/>
      <c r="I45" s="330"/>
      <c r="J45" s="341"/>
      <c r="K45" s="344"/>
      <c r="L45" s="323"/>
      <c r="M45" s="323"/>
      <c r="N45" s="245">
        <v>45322</v>
      </c>
      <c r="O45" s="329"/>
      <c r="P45" s="238">
        <v>960</v>
      </c>
      <c r="Q45" s="239">
        <v>45334</v>
      </c>
      <c r="R45" s="240"/>
      <c r="S45" s="238"/>
      <c r="T45" s="238"/>
      <c r="U45" s="322"/>
      <c r="V45" s="347"/>
      <c r="W45" s="325"/>
      <c r="X45" s="2">
        <v>26</v>
      </c>
    </row>
    <row r="46" spans="1:24" s="2" customFormat="1" x14ac:dyDescent="0.3">
      <c r="A46" s="331"/>
      <c r="B46" s="323"/>
      <c r="C46" s="323"/>
      <c r="D46" s="323"/>
      <c r="E46" s="323"/>
      <c r="F46" s="329"/>
      <c r="G46" s="338"/>
      <c r="H46" s="322"/>
      <c r="I46" s="330"/>
      <c r="J46" s="341"/>
      <c r="K46" s="344"/>
      <c r="L46" s="323"/>
      <c r="M46" s="323"/>
      <c r="N46" s="245">
        <v>45322</v>
      </c>
      <c r="O46" s="329"/>
      <c r="P46" s="238">
        <v>10140</v>
      </c>
      <c r="Q46" s="239">
        <v>45334</v>
      </c>
      <c r="R46" s="240"/>
      <c r="S46" s="238"/>
      <c r="T46" s="238"/>
      <c r="U46" s="322"/>
      <c r="V46" s="347"/>
      <c r="W46" s="325"/>
      <c r="X46" s="2">
        <v>26</v>
      </c>
    </row>
    <row r="47" spans="1:24" s="2" customFormat="1" x14ac:dyDescent="0.3">
      <c r="A47" s="331"/>
      <c r="B47" s="323"/>
      <c r="C47" s="323"/>
      <c r="D47" s="323"/>
      <c r="E47" s="323"/>
      <c r="F47" s="329"/>
      <c r="G47" s="338"/>
      <c r="H47" s="322"/>
      <c r="I47" s="330"/>
      <c r="J47" s="341"/>
      <c r="K47" s="344"/>
      <c r="L47" s="323"/>
      <c r="M47" s="323"/>
      <c r="N47" s="245">
        <v>45322</v>
      </c>
      <c r="O47" s="329"/>
      <c r="P47" s="238">
        <v>17418.759999999998</v>
      </c>
      <c r="Q47" s="239">
        <v>45334</v>
      </c>
      <c r="R47" s="240"/>
      <c r="S47" s="238"/>
      <c r="T47" s="238"/>
      <c r="U47" s="322"/>
      <c r="V47" s="347"/>
      <c r="W47" s="325"/>
      <c r="X47" s="2">
        <v>26</v>
      </c>
    </row>
    <row r="48" spans="1:24" s="2" customFormat="1" x14ac:dyDescent="0.3">
      <c r="A48" s="331"/>
      <c r="B48" s="323"/>
      <c r="C48" s="323"/>
      <c r="D48" s="323"/>
      <c r="E48" s="323"/>
      <c r="F48" s="329"/>
      <c r="G48" s="338"/>
      <c r="H48" s="322"/>
      <c r="I48" s="330"/>
      <c r="J48" s="341"/>
      <c r="K48" s="344"/>
      <c r="L48" s="323"/>
      <c r="M48" s="323"/>
      <c r="N48" s="245">
        <v>45322</v>
      </c>
      <c r="O48" s="329"/>
      <c r="P48" s="238">
        <v>14251.84</v>
      </c>
      <c r="Q48" s="239">
        <v>45334</v>
      </c>
      <c r="R48" s="240"/>
      <c r="S48" s="238"/>
      <c r="T48" s="238"/>
      <c r="U48" s="322"/>
      <c r="V48" s="347"/>
      <c r="W48" s="325"/>
      <c r="X48" s="2">
        <v>26</v>
      </c>
    </row>
    <row r="49" spans="1:24" s="2" customFormat="1" x14ac:dyDescent="0.3">
      <c r="A49" s="331"/>
      <c r="B49" s="323"/>
      <c r="C49" s="323"/>
      <c r="D49" s="323"/>
      <c r="E49" s="323"/>
      <c r="F49" s="329"/>
      <c r="G49" s="338"/>
      <c r="H49" s="322"/>
      <c r="I49" s="330"/>
      <c r="J49" s="341"/>
      <c r="K49" s="344"/>
      <c r="L49" s="323"/>
      <c r="M49" s="323"/>
      <c r="N49" s="245">
        <v>45351</v>
      </c>
      <c r="O49" s="329"/>
      <c r="P49" s="238">
        <v>21747.68</v>
      </c>
      <c r="Q49" s="239">
        <v>45364</v>
      </c>
      <c r="R49" s="240"/>
      <c r="S49" s="238"/>
      <c r="T49" s="238"/>
      <c r="U49" s="322"/>
      <c r="V49" s="347"/>
      <c r="W49" s="325"/>
      <c r="X49" s="2">
        <v>26</v>
      </c>
    </row>
    <row r="50" spans="1:24" s="2" customFormat="1" x14ac:dyDescent="0.3">
      <c r="A50" s="331"/>
      <c r="B50" s="323"/>
      <c r="C50" s="323"/>
      <c r="D50" s="323"/>
      <c r="E50" s="323"/>
      <c r="F50" s="329"/>
      <c r="G50" s="338"/>
      <c r="H50" s="322"/>
      <c r="I50" s="330"/>
      <c r="J50" s="341"/>
      <c r="K50" s="344"/>
      <c r="L50" s="323"/>
      <c r="M50" s="323"/>
      <c r="N50" s="245">
        <v>45351</v>
      </c>
      <c r="O50" s="329"/>
      <c r="P50" s="238">
        <v>17793.72</v>
      </c>
      <c r="Q50" s="239">
        <v>45364</v>
      </c>
      <c r="R50" s="240"/>
      <c r="S50" s="238"/>
      <c r="T50" s="238"/>
      <c r="U50" s="322"/>
      <c r="V50" s="347"/>
      <c r="W50" s="325"/>
      <c r="X50" s="2">
        <v>26</v>
      </c>
    </row>
    <row r="51" spans="1:24" s="2" customFormat="1" x14ac:dyDescent="0.3">
      <c r="A51" s="331"/>
      <c r="B51" s="323"/>
      <c r="C51" s="323"/>
      <c r="D51" s="323"/>
      <c r="E51" s="323"/>
      <c r="F51" s="329"/>
      <c r="G51" s="338"/>
      <c r="H51" s="322"/>
      <c r="I51" s="330"/>
      <c r="J51" s="341"/>
      <c r="K51" s="344"/>
      <c r="L51" s="323"/>
      <c r="M51" s="323"/>
      <c r="N51" s="245">
        <v>45351</v>
      </c>
      <c r="O51" s="329"/>
      <c r="P51" s="238">
        <v>12660</v>
      </c>
      <c r="Q51" s="239">
        <v>45364</v>
      </c>
      <c r="R51" s="240"/>
      <c r="S51" s="238"/>
      <c r="T51" s="238"/>
      <c r="U51" s="322"/>
      <c r="V51" s="347"/>
      <c r="W51" s="325"/>
      <c r="X51" s="2">
        <v>26</v>
      </c>
    </row>
    <row r="52" spans="1:24" s="2" customFormat="1" x14ac:dyDescent="0.3">
      <c r="A52" s="331"/>
      <c r="B52" s="323"/>
      <c r="C52" s="323"/>
      <c r="D52" s="323"/>
      <c r="E52" s="323"/>
      <c r="F52" s="329"/>
      <c r="G52" s="338"/>
      <c r="H52" s="322"/>
      <c r="I52" s="330"/>
      <c r="J52" s="341"/>
      <c r="K52" s="344"/>
      <c r="L52" s="323"/>
      <c r="M52" s="323"/>
      <c r="N52" s="245">
        <v>45351</v>
      </c>
      <c r="O52" s="329"/>
      <c r="P52" s="238">
        <v>1295.24</v>
      </c>
      <c r="Q52" s="239">
        <v>45364</v>
      </c>
      <c r="R52" s="240"/>
      <c r="S52" s="238"/>
      <c r="T52" s="238"/>
      <c r="U52" s="322"/>
      <c r="V52" s="347"/>
      <c r="W52" s="325"/>
      <c r="X52" s="2">
        <v>26</v>
      </c>
    </row>
    <row r="53" spans="1:24" s="2" customFormat="1" x14ac:dyDescent="0.3">
      <c r="A53" s="331"/>
      <c r="B53" s="323"/>
      <c r="C53" s="323"/>
      <c r="D53" s="323"/>
      <c r="E53" s="323"/>
      <c r="F53" s="329"/>
      <c r="G53" s="338"/>
      <c r="H53" s="322"/>
      <c r="I53" s="330"/>
      <c r="J53" s="341"/>
      <c r="K53" s="344"/>
      <c r="L53" s="323"/>
      <c r="M53" s="323"/>
      <c r="N53" s="245">
        <v>45351</v>
      </c>
      <c r="O53" s="329"/>
      <c r="P53" s="238">
        <v>1059.76</v>
      </c>
      <c r="Q53" s="239">
        <v>45364</v>
      </c>
      <c r="R53" s="240"/>
      <c r="S53" s="238"/>
      <c r="T53" s="238"/>
      <c r="U53" s="322"/>
      <c r="V53" s="347"/>
      <c r="W53" s="325"/>
      <c r="X53" s="2">
        <v>26</v>
      </c>
    </row>
    <row r="54" spans="1:24" s="2" customFormat="1" x14ac:dyDescent="0.3">
      <c r="A54" s="331"/>
      <c r="B54" s="323"/>
      <c r="C54" s="323"/>
      <c r="D54" s="323"/>
      <c r="E54" s="323"/>
      <c r="F54" s="329"/>
      <c r="G54" s="338"/>
      <c r="H54" s="322"/>
      <c r="I54" s="330"/>
      <c r="J54" s="341"/>
      <c r="K54" s="344"/>
      <c r="L54" s="323"/>
      <c r="M54" s="323"/>
      <c r="N54" s="245">
        <v>45351</v>
      </c>
      <c r="O54" s="329"/>
      <c r="P54" s="238">
        <v>750</v>
      </c>
      <c r="Q54" s="239">
        <v>45364</v>
      </c>
      <c r="R54" s="240"/>
      <c r="S54" s="238"/>
      <c r="T54" s="238"/>
      <c r="U54" s="322"/>
      <c r="V54" s="347"/>
      <c r="W54" s="325"/>
      <c r="X54" s="2">
        <v>26</v>
      </c>
    </row>
    <row r="55" spans="1:24" s="2" customFormat="1" x14ac:dyDescent="0.3">
      <c r="A55" s="331"/>
      <c r="B55" s="323"/>
      <c r="C55" s="323"/>
      <c r="D55" s="323"/>
      <c r="E55" s="323"/>
      <c r="F55" s="329"/>
      <c r="G55" s="338"/>
      <c r="H55" s="322"/>
      <c r="I55" s="330"/>
      <c r="J55" s="341"/>
      <c r="K55" s="344"/>
      <c r="L55" s="323"/>
      <c r="M55" s="323"/>
      <c r="N55" s="245">
        <v>45351</v>
      </c>
      <c r="O55" s="329"/>
      <c r="P55" s="238">
        <v>282.60000000000002</v>
      </c>
      <c r="Q55" s="239">
        <v>45364</v>
      </c>
      <c r="R55" s="240"/>
      <c r="S55" s="238"/>
      <c r="T55" s="238"/>
      <c r="U55" s="322"/>
      <c r="V55" s="347"/>
      <c r="W55" s="325"/>
      <c r="X55" s="2">
        <v>26</v>
      </c>
    </row>
    <row r="56" spans="1:24" s="2" customFormat="1" x14ac:dyDescent="0.3">
      <c r="A56" s="331"/>
      <c r="B56" s="323"/>
      <c r="C56" s="323"/>
      <c r="D56" s="323"/>
      <c r="E56" s="323"/>
      <c r="F56" s="329"/>
      <c r="G56" s="338"/>
      <c r="H56" s="322"/>
      <c r="I56" s="330"/>
      <c r="J56" s="341"/>
      <c r="K56" s="344"/>
      <c r="L56" s="323"/>
      <c r="M56" s="323"/>
      <c r="N56" s="245">
        <v>45351</v>
      </c>
      <c r="O56" s="329"/>
      <c r="P56" s="238">
        <v>90</v>
      </c>
      <c r="Q56" s="239">
        <v>45364</v>
      </c>
      <c r="R56" s="240"/>
      <c r="S56" s="238"/>
      <c r="T56" s="238"/>
      <c r="U56" s="322"/>
      <c r="V56" s="347"/>
      <c r="W56" s="325"/>
      <c r="X56" s="2">
        <v>26</v>
      </c>
    </row>
    <row r="57" spans="1:24" s="2" customFormat="1" x14ac:dyDescent="0.3">
      <c r="A57" s="331"/>
      <c r="B57" s="323"/>
      <c r="C57" s="323"/>
      <c r="D57" s="323"/>
      <c r="E57" s="323"/>
      <c r="F57" s="329"/>
      <c r="G57" s="338"/>
      <c r="H57" s="322"/>
      <c r="I57" s="330"/>
      <c r="J57" s="341"/>
      <c r="K57" s="344"/>
      <c r="L57" s="323"/>
      <c r="M57" s="323"/>
      <c r="N57" s="245">
        <v>45351</v>
      </c>
      <c r="O57" s="329"/>
      <c r="P57" s="238">
        <v>2061.4</v>
      </c>
      <c r="Q57" s="239">
        <v>45364</v>
      </c>
      <c r="R57" s="240"/>
      <c r="S57" s="238"/>
      <c r="T57" s="238"/>
      <c r="U57" s="322"/>
      <c r="V57" s="347"/>
      <c r="W57" s="325"/>
      <c r="X57" s="2">
        <v>26</v>
      </c>
    </row>
    <row r="58" spans="1:24" s="2" customFormat="1" x14ac:dyDescent="0.3">
      <c r="A58" s="331"/>
      <c r="B58" s="323"/>
      <c r="C58" s="323"/>
      <c r="D58" s="323"/>
      <c r="E58" s="323"/>
      <c r="F58" s="329"/>
      <c r="G58" s="338"/>
      <c r="H58" s="322"/>
      <c r="I58" s="330"/>
      <c r="J58" s="341"/>
      <c r="K58" s="344"/>
      <c r="L58" s="323"/>
      <c r="M58" s="323"/>
      <c r="N58" s="245">
        <v>45351</v>
      </c>
      <c r="O58" s="329"/>
      <c r="P58" s="238">
        <v>660</v>
      </c>
      <c r="Q58" s="239">
        <v>45364</v>
      </c>
      <c r="R58" s="240"/>
      <c r="S58" s="238"/>
      <c r="T58" s="238"/>
      <c r="U58" s="322"/>
      <c r="V58" s="347"/>
      <c r="W58" s="325"/>
      <c r="X58" s="2">
        <v>26</v>
      </c>
    </row>
    <row r="59" spans="1:24" s="2" customFormat="1" x14ac:dyDescent="0.3">
      <c r="A59" s="331"/>
      <c r="B59" s="323"/>
      <c r="C59" s="323"/>
      <c r="D59" s="323"/>
      <c r="E59" s="323"/>
      <c r="F59" s="329"/>
      <c r="G59" s="338"/>
      <c r="H59" s="322"/>
      <c r="I59" s="330"/>
      <c r="J59" s="341"/>
      <c r="K59" s="344"/>
      <c r="L59" s="323"/>
      <c r="M59" s="323"/>
      <c r="N59" s="245">
        <v>45373</v>
      </c>
      <c r="O59" s="329"/>
      <c r="P59" s="238">
        <v>840</v>
      </c>
      <c r="Q59" s="239">
        <v>45387</v>
      </c>
      <c r="R59" s="240"/>
      <c r="S59" s="238"/>
      <c r="T59" s="238"/>
      <c r="U59" s="322"/>
      <c r="V59" s="347"/>
      <c r="W59" s="325"/>
      <c r="X59" s="2">
        <v>26</v>
      </c>
    </row>
    <row r="60" spans="1:24" s="2" customFormat="1" x14ac:dyDescent="0.3">
      <c r="A60" s="331"/>
      <c r="B60" s="323"/>
      <c r="C60" s="323"/>
      <c r="D60" s="323"/>
      <c r="E60" s="323"/>
      <c r="F60" s="329"/>
      <c r="G60" s="338"/>
      <c r="H60" s="322"/>
      <c r="I60" s="330"/>
      <c r="J60" s="341"/>
      <c r="K60" s="344"/>
      <c r="L60" s="323"/>
      <c r="M60" s="323"/>
      <c r="N60" s="245">
        <v>45373</v>
      </c>
      <c r="O60" s="329"/>
      <c r="P60" s="238">
        <v>9660</v>
      </c>
      <c r="Q60" s="239">
        <v>45387</v>
      </c>
      <c r="R60" s="240"/>
      <c r="S60" s="238"/>
      <c r="T60" s="238"/>
      <c r="U60" s="322"/>
      <c r="V60" s="347"/>
      <c r="W60" s="325"/>
      <c r="X60" s="2">
        <v>26</v>
      </c>
    </row>
    <row r="61" spans="1:24" s="2" customFormat="1" x14ac:dyDescent="0.3">
      <c r="A61" s="331"/>
      <c r="B61" s="323"/>
      <c r="C61" s="323"/>
      <c r="D61" s="323"/>
      <c r="E61" s="323"/>
      <c r="F61" s="329"/>
      <c r="G61" s="338"/>
      <c r="H61" s="322"/>
      <c r="I61" s="330"/>
      <c r="J61" s="341"/>
      <c r="K61" s="344"/>
      <c r="L61" s="323"/>
      <c r="M61" s="323"/>
      <c r="N61" s="245">
        <v>45373</v>
      </c>
      <c r="O61" s="329"/>
      <c r="P61" s="238">
        <v>780</v>
      </c>
      <c r="Q61" s="239">
        <v>45387</v>
      </c>
      <c r="R61" s="240"/>
      <c r="S61" s="238"/>
      <c r="T61" s="238"/>
      <c r="U61" s="322"/>
      <c r="V61" s="347"/>
      <c r="W61" s="325"/>
      <c r="X61" s="2">
        <v>26</v>
      </c>
    </row>
    <row r="62" spans="1:24" s="2" customFormat="1" x14ac:dyDescent="0.3">
      <c r="A62" s="331"/>
      <c r="B62" s="323"/>
      <c r="C62" s="323"/>
      <c r="D62" s="323"/>
      <c r="E62" s="323"/>
      <c r="F62" s="329"/>
      <c r="G62" s="338"/>
      <c r="H62" s="322"/>
      <c r="I62" s="330"/>
      <c r="J62" s="341"/>
      <c r="K62" s="344"/>
      <c r="L62" s="323"/>
      <c r="M62" s="323"/>
      <c r="N62" s="245">
        <v>45373</v>
      </c>
      <c r="O62" s="329"/>
      <c r="P62" s="238">
        <v>2436.1999999999998</v>
      </c>
      <c r="Q62" s="239">
        <v>45387</v>
      </c>
      <c r="R62" s="240"/>
      <c r="S62" s="238"/>
      <c r="T62" s="238"/>
      <c r="U62" s="322"/>
      <c r="V62" s="347"/>
      <c r="W62" s="325"/>
      <c r="X62" s="2">
        <v>26</v>
      </c>
    </row>
    <row r="63" spans="1:24" s="2" customFormat="1" x14ac:dyDescent="0.3">
      <c r="A63" s="331"/>
      <c r="B63" s="323"/>
      <c r="C63" s="323"/>
      <c r="D63" s="323"/>
      <c r="E63" s="323"/>
      <c r="F63" s="329"/>
      <c r="G63" s="338"/>
      <c r="H63" s="322"/>
      <c r="I63" s="330"/>
      <c r="J63" s="341"/>
      <c r="K63" s="344"/>
      <c r="L63" s="323"/>
      <c r="M63" s="323"/>
      <c r="N63" s="245">
        <v>45373</v>
      </c>
      <c r="O63" s="329"/>
      <c r="P63" s="238">
        <v>1450.67</v>
      </c>
      <c r="Q63" s="239">
        <v>45387</v>
      </c>
      <c r="R63" s="240"/>
      <c r="S63" s="238"/>
      <c r="T63" s="238"/>
      <c r="U63" s="322"/>
      <c r="V63" s="347"/>
      <c r="W63" s="325"/>
      <c r="X63" s="2">
        <v>26</v>
      </c>
    </row>
    <row r="64" spans="1:24" s="2" customFormat="1" x14ac:dyDescent="0.3">
      <c r="A64" s="331"/>
      <c r="B64" s="323"/>
      <c r="C64" s="323"/>
      <c r="D64" s="323"/>
      <c r="E64" s="323"/>
      <c r="F64" s="329"/>
      <c r="G64" s="338"/>
      <c r="H64" s="322"/>
      <c r="I64" s="330"/>
      <c r="J64" s="341"/>
      <c r="K64" s="344"/>
      <c r="L64" s="323"/>
      <c r="M64" s="323"/>
      <c r="N64" s="245">
        <v>45373</v>
      </c>
      <c r="O64" s="329"/>
      <c r="P64" s="238">
        <v>1186.93</v>
      </c>
      <c r="Q64" s="239">
        <v>45387</v>
      </c>
      <c r="R64" s="240"/>
      <c r="S64" s="238"/>
      <c r="T64" s="238"/>
      <c r="U64" s="322"/>
      <c r="V64" s="347"/>
      <c r="W64" s="325"/>
      <c r="X64" s="2">
        <v>26</v>
      </c>
    </row>
    <row r="65" spans="1:24" s="2" customFormat="1" x14ac:dyDescent="0.3">
      <c r="A65" s="331"/>
      <c r="B65" s="323"/>
      <c r="C65" s="323"/>
      <c r="D65" s="323"/>
      <c r="E65" s="323"/>
      <c r="F65" s="329"/>
      <c r="G65" s="338"/>
      <c r="H65" s="322"/>
      <c r="I65" s="330"/>
      <c r="J65" s="341"/>
      <c r="K65" s="344"/>
      <c r="L65" s="323"/>
      <c r="M65" s="323"/>
      <c r="N65" s="245">
        <v>45373</v>
      </c>
      <c r="O65" s="329"/>
      <c r="P65" s="238">
        <v>16594.2</v>
      </c>
      <c r="Q65" s="239">
        <v>45387</v>
      </c>
      <c r="R65" s="240"/>
      <c r="S65" s="238"/>
      <c r="T65" s="238"/>
      <c r="U65" s="322"/>
      <c r="V65" s="347"/>
      <c r="W65" s="325"/>
      <c r="X65" s="2">
        <v>26</v>
      </c>
    </row>
    <row r="66" spans="1:24" s="2" customFormat="1" x14ac:dyDescent="0.3">
      <c r="A66" s="319"/>
      <c r="B66" s="311"/>
      <c r="C66" s="311"/>
      <c r="D66" s="311"/>
      <c r="E66" s="311"/>
      <c r="F66" s="313"/>
      <c r="G66" s="339"/>
      <c r="H66" s="315"/>
      <c r="I66" s="317"/>
      <c r="J66" s="342"/>
      <c r="K66" s="345"/>
      <c r="L66" s="311"/>
      <c r="M66" s="311"/>
      <c r="N66" s="245">
        <v>45373</v>
      </c>
      <c r="O66" s="313"/>
      <c r="P66" s="241">
        <v>13577.2</v>
      </c>
      <c r="Q66" s="239">
        <v>45387</v>
      </c>
      <c r="R66" s="243"/>
      <c r="S66" s="241"/>
      <c r="T66" s="241"/>
      <c r="U66" s="315"/>
      <c r="V66" s="348"/>
      <c r="W66" s="309"/>
      <c r="X66" s="2">
        <v>26</v>
      </c>
    </row>
    <row r="67" spans="1:24" s="107" customFormat="1" ht="108" customHeight="1" x14ac:dyDescent="0.3">
      <c r="A67" s="318">
        <v>10</v>
      </c>
      <c r="B67" s="310" t="s">
        <v>56</v>
      </c>
      <c r="C67" s="310" t="s">
        <v>146</v>
      </c>
      <c r="D67" s="310" t="s">
        <v>147</v>
      </c>
      <c r="E67" s="310" t="s">
        <v>114</v>
      </c>
      <c r="F67" s="312">
        <v>45289</v>
      </c>
      <c r="G67" s="337" t="s">
        <v>202</v>
      </c>
      <c r="H67" s="314">
        <v>121197.6</v>
      </c>
      <c r="I67" s="316">
        <f>IF(X67 = 27, H67 + SUM(S67:S72) - SUM(T67:T72) - SUM(P67:P72) - V67,0)</f>
        <v>0</v>
      </c>
      <c r="J67" s="340">
        <v>2353020735</v>
      </c>
      <c r="K67" s="343" t="s">
        <v>156</v>
      </c>
      <c r="L67" s="310" t="s">
        <v>146</v>
      </c>
      <c r="M67" s="310"/>
      <c r="N67" s="244">
        <v>45322</v>
      </c>
      <c r="O67" s="312" t="s">
        <v>165</v>
      </c>
      <c r="P67" s="235">
        <v>17262</v>
      </c>
      <c r="Q67" s="236">
        <v>45334</v>
      </c>
      <c r="R67" s="237"/>
      <c r="S67" s="235"/>
      <c r="T67" s="235"/>
      <c r="U67" s="314" t="s">
        <v>279</v>
      </c>
      <c r="V67" s="346">
        <v>52056</v>
      </c>
      <c r="W67" s="308"/>
      <c r="X67" s="107">
        <v>27</v>
      </c>
    </row>
    <row r="68" spans="1:24" s="2" customFormat="1" x14ac:dyDescent="0.3">
      <c r="A68" s="331"/>
      <c r="B68" s="323"/>
      <c r="C68" s="323"/>
      <c r="D68" s="323"/>
      <c r="E68" s="323"/>
      <c r="F68" s="329"/>
      <c r="G68" s="338"/>
      <c r="H68" s="322"/>
      <c r="I68" s="330"/>
      <c r="J68" s="341"/>
      <c r="K68" s="344"/>
      <c r="L68" s="323"/>
      <c r="M68" s="323"/>
      <c r="N68" s="245">
        <v>45322</v>
      </c>
      <c r="O68" s="329"/>
      <c r="P68" s="238">
        <v>6822.4</v>
      </c>
      <c r="Q68" s="239">
        <v>45334</v>
      </c>
      <c r="R68" s="240"/>
      <c r="S68" s="238"/>
      <c r="T68" s="238"/>
      <c r="U68" s="322"/>
      <c r="V68" s="347"/>
      <c r="W68" s="325"/>
      <c r="X68" s="2">
        <v>27</v>
      </c>
    </row>
    <row r="69" spans="1:24" s="2" customFormat="1" x14ac:dyDescent="0.3">
      <c r="A69" s="331"/>
      <c r="B69" s="323"/>
      <c r="C69" s="323"/>
      <c r="D69" s="323"/>
      <c r="E69" s="323"/>
      <c r="F69" s="329"/>
      <c r="G69" s="338"/>
      <c r="H69" s="322"/>
      <c r="I69" s="330"/>
      <c r="J69" s="341"/>
      <c r="K69" s="344"/>
      <c r="L69" s="323"/>
      <c r="M69" s="323"/>
      <c r="N69" s="245">
        <v>45351</v>
      </c>
      <c r="O69" s="329"/>
      <c r="P69" s="238">
        <v>19044</v>
      </c>
      <c r="Q69" s="239">
        <v>45364</v>
      </c>
      <c r="R69" s="240"/>
      <c r="S69" s="238"/>
      <c r="T69" s="238"/>
      <c r="U69" s="322"/>
      <c r="V69" s="347"/>
      <c r="W69" s="325"/>
      <c r="X69" s="2">
        <v>27</v>
      </c>
    </row>
    <row r="70" spans="1:24" s="2" customFormat="1" x14ac:dyDescent="0.3">
      <c r="A70" s="331"/>
      <c r="B70" s="323"/>
      <c r="C70" s="323"/>
      <c r="D70" s="323"/>
      <c r="E70" s="323"/>
      <c r="F70" s="329"/>
      <c r="G70" s="338"/>
      <c r="H70" s="322"/>
      <c r="I70" s="330"/>
      <c r="J70" s="341"/>
      <c r="K70" s="344"/>
      <c r="L70" s="323"/>
      <c r="M70" s="323"/>
      <c r="N70" s="245">
        <v>45351</v>
      </c>
      <c r="O70" s="329"/>
      <c r="P70" s="238">
        <v>7321.6</v>
      </c>
      <c r="Q70" s="239">
        <v>45364</v>
      </c>
      <c r="R70" s="240"/>
      <c r="S70" s="238"/>
      <c r="T70" s="238"/>
      <c r="U70" s="322"/>
      <c r="V70" s="347"/>
      <c r="W70" s="325"/>
      <c r="X70" s="2">
        <v>27</v>
      </c>
    </row>
    <row r="71" spans="1:24" s="2" customFormat="1" x14ac:dyDescent="0.3">
      <c r="A71" s="331"/>
      <c r="B71" s="323"/>
      <c r="C71" s="323"/>
      <c r="D71" s="323"/>
      <c r="E71" s="323"/>
      <c r="F71" s="329"/>
      <c r="G71" s="338"/>
      <c r="H71" s="322"/>
      <c r="I71" s="330"/>
      <c r="J71" s="341"/>
      <c r="K71" s="344"/>
      <c r="L71" s="323"/>
      <c r="M71" s="323"/>
      <c r="N71" s="245">
        <v>45373</v>
      </c>
      <c r="O71" s="329"/>
      <c r="P71" s="238">
        <v>13554</v>
      </c>
      <c r="Q71" s="239">
        <v>45387</v>
      </c>
      <c r="R71" s="240"/>
      <c r="S71" s="238"/>
      <c r="T71" s="238"/>
      <c r="U71" s="322"/>
      <c r="V71" s="347"/>
      <c r="W71" s="325"/>
      <c r="X71" s="2">
        <v>27</v>
      </c>
    </row>
    <row r="72" spans="1:24" s="2" customFormat="1" x14ac:dyDescent="0.3">
      <c r="A72" s="319"/>
      <c r="B72" s="311"/>
      <c r="C72" s="311"/>
      <c r="D72" s="311"/>
      <c r="E72" s="311"/>
      <c r="F72" s="313"/>
      <c r="G72" s="339"/>
      <c r="H72" s="315"/>
      <c r="I72" s="317"/>
      <c r="J72" s="342"/>
      <c r="K72" s="345"/>
      <c r="L72" s="311"/>
      <c r="M72" s="311"/>
      <c r="N72" s="246">
        <v>45373</v>
      </c>
      <c r="O72" s="313"/>
      <c r="P72" s="241">
        <v>5137.6000000000004</v>
      </c>
      <c r="Q72" s="242">
        <v>45387</v>
      </c>
      <c r="R72" s="243"/>
      <c r="S72" s="241"/>
      <c r="T72" s="241"/>
      <c r="U72" s="315"/>
      <c r="V72" s="348"/>
      <c r="W72" s="309"/>
      <c r="X72" s="2">
        <v>27</v>
      </c>
    </row>
    <row r="73" spans="1:24" s="107" customFormat="1" ht="162" customHeight="1" x14ac:dyDescent="0.3">
      <c r="A73" s="318">
        <v>11</v>
      </c>
      <c r="B73" s="310" t="s">
        <v>56</v>
      </c>
      <c r="C73" s="310" t="s">
        <v>146</v>
      </c>
      <c r="D73" s="310" t="s">
        <v>147</v>
      </c>
      <c r="E73" s="310" t="s">
        <v>203</v>
      </c>
      <c r="F73" s="312">
        <v>45290</v>
      </c>
      <c r="G73" s="337" t="s">
        <v>204</v>
      </c>
      <c r="H73" s="314">
        <v>45600</v>
      </c>
      <c r="I73" s="316">
        <f>IF(X73 = 28, H73 + SUM(S73:S78) - SUM(T73:T78) - SUM(P73:P78) - V73,0)</f>
        <v>0</v>
      </c>
      <c r="J73" s="340">
        <v>235305769122</v>
      </c>
      <c r="K73" s="343" t="s">
        <v>160</v>
      </c>
      <c r="L73" s="310" t="s">
        <v>146</v>
      </c>
      <c r="M73" s="310"/>
      <c r="N73" s="244">
        <v>45322</v>
      </c>
      <c r="O73" s="312" t="s">
        <v>194</v>
      </c>
      <c r="P73" s="235">
        <v>5600</v>
      </c>
      <c r="Q73" s="236">
        <v>45330</v>
      </c>
      <c r="R73" s="237"/>
      <c r="S73" s="235"/>
      <c r="T73" s="235"/>
      <c r="U73" s="314">
        <v>45363</v>
      </c>
      <c r="V73" s="346">
        <v>6590</v>
      </c>
      <c r="W73" s="308"/>
      <c r="X73" s="107">
        <v>28</v>
      </c>
    </row>
    <row r="74" spans="1:24" s="2" customFormat="1" x14ac:dyDescent="0.3">
      <c r="A74" s="331"/>
      <c r="B74" s="323"/>
      <c r="C74" s="323"/>
      <c r="D74" s="323"/>
      <c r="E74" s="323"/>
      <c r="F74" s="329"/>
      <c r="G74" s="338"/>
      <c r="H74" s="322"/>
      <c r="I74" s="330"/>
      <c r="J74" s="341"/>
      <c r="K74" s="344"/>
      <c r="L74" s="323"/>
      <c r="M74" s="323"/>
      <c r="N74" s="245">
        <v>45322</v>
      </c>
      <c r="O74" s="329"/>
      <c r="P74" s="238">
        <v>6240</v>
      </c>
      <c r="Q74" s="239">
        <v>45330</v>
      </c>
      <c r="R74" s="240"/>
      <c r="S74" s="238"/>
      <c r="T74" s="238"/>
      <c r="U74" s="322"/>
      <c r="V74" s="347"/>
      <c r="W74" s="325"/>
      <c r="X74" s="2">
        <v>28</v>
      </c>
    </row>
    <row r="75" spans="1:24" s="2" customFormat="1" x14ac:dyDescent="0.3">
      <c r="A75" s="331"/>
      <c r="B75" s="323"/>
      <c r="C75" s="323"/>
      <c r="D75" s="323"/>
      <c r="E75" s="323"/>
      <c r="F75" s="329"/>
      <c r="G75" s="338"/>
      <c r="H75" s="322"/>
      <c r="I75" s="330"/>
      <c r="J75" s="341"/>
      <c r="K75" s="344"/>
      <c r="L75" s="323"/>
      <c r="M75" s="323"/>
      <c r="N75" s="245">
        <v>45322</v>
      </c>
      <c r="O75" s="329"/>
      <c r="P75" s="238">
        <v>8060</v>
      </c>
      <c r="Q75" s="239">
        <v>45330</v>
      </c>
      <c r="R75" s="240"/>
      <c r="S75" s="238"/>
      <c r="T75" s="238"/>
      <c r="U75" s="322"/>
      <c r="V75" s="347"/>
      <c r="W75" s="325"/>
      <c r="X75" s="2">
        <v>28</v>
      </c>
    </row>
    <row r="76" spans="1:24" s="2" customFormat="1" x14ac:dyDescent="0.3">
      <c r="A76" s="331"/>
      <c r="B76" s="323"/>
      <c r="C76" s="323"/>
      <c r="D76" s="323"/>
      <c r="E76" s="323"/>
      <c r="F76" s="329"/>
      <c r="G76" s="338"/>
      <c r="H76" s="322"/>
      <c r="I76" s="330"/>
      <c r="J76" s="341"/>
      <c r="K76" s="344"/>
      <c r="L76" s="323"/>
      <c r="M76" s="323"/>
      <c r="N76" s="245">
        <v>45351</v>
      </c>
      <c r="O76" s="329"/>
      <c r="P76" s="238">
        <v>5460</v>
      </c>
      <c r="Q76" s="239">
        <v>45357</v>
      </c>
      <c r="R76" s="240"/>
      <c r="S76" s="238"/>
      <c r="T76" s="238"/>
      <c r="U76" s="322"/>
      <c r="V76" s="347"/>
      <c r="W76" s="325"/>
      <c r="X76" s="2">
        <v>28</v>
      </c>
    </row>
    <row r="77" spans="1:24" s="2" customFormat="1" x14ac:dyDescent="0.3">
      <c r="A77" s="331"/>
      <c r="B77" s="323"/>
      <c r="C77" s="323"/>
      <c r="D77" s="323"/>
      <c r="E77" s="323"/>
      <c r="F77" s="329"/>
      <c r="G77" s="338"/>
      <c r="H77" s="322"/>
      <c r="I77" s="330"/>
      <c r="J77" s="341"/>
      <c r="K77" s="344"/>
      <c r="L77" s="323"/>
      <c r="M77" s="323"/>
      <c r="N77" s="245">
        <v>45351</v>
      </c>
      <c r="O77" s="329"/>
      <c r="P77" s="238">
        <v>6240</v>
      </c>
      <c r="Q77" s="239">
        <v>45357</v>
      </c>
      <c r="R77" s="240"/>
      <c r="S77" s="238"/>
      <c r="T77" s="238"/>
      <c r="U77" s="322"/>
      <c r="V77" s="347"/>
      <c r="W77" s="325"/>
      <c r="X77" s="2">
        <v>28</v>
      </c>
    </row>
    <row r="78" spans="1:24" s="2" customFormat="1" x14ac:dyDescent="0.3">
      <c r="A78" s="331"/>
      <c r="B78" s="323"/>
      <c r="C78" s="323"/>
      <c r="D78" s="323"/>
      <c r="E78" s="323"/>
      <c r="F78" s="329"/>
      <c r="G78" s="338"/>
      <c r="H78" s="322"/>
      <c r="I78" s="330"/>
      <c r="J78" s="341"/>
      <c r="K78" s="344"/>
      <c r="L78" s="323"/>
      <c r="M78" s="323"/>
      <c r="N78" s="245">
        <v>45351</v>
      </c>
      <c r="O78" s="329"/>
      <c r="P78" s="238">
        <v>7410</v>
      </c>
      <c r="Q78" s="239">
        <v>45357</v>
      </c>
      <c r="R78" s="240"/>
      <c r="S78" s="238"/>
      <c r="T78" s="238"/>
      <c r="U78" s="322"/>
      <c r="V78" s="347"/>
      <c r="W78" s="325"/>
      <c r="X78" s="2">
        <v>28</v>
      </c>
    </row>
    <row r="79" spans="1:24" s="107" customFormat="1" ht="131.25" customHeight="1" x14ac:dyDescent="0.3">
      <c r="A79" s="318">
        <v>12</v>
      </c>
      <c r="B79" s="310" t="s">
        <v>56</v>
      </c>
      <c r="C79" s="310" t="s">
        <v>146</v>
      </c>
      <c r="D79" s="310" t="s">
        <v>147</v>
      </c>
      <c r="E79" s="310" t="s">
        <v>117</v>
      </c>
      <c r="F79" s="312">
        <v>45309</v>
      </c>
      <c r="G79" s="337" t="s">
        <v>205</v>
      </c>
      <c r="H79" s="314">
        <v>26568</v>
      </c>
      <c r="I79" s="316">
        <f>IF(X79 = 29, H79 + SUM(S79:S84) - SUM(T79:T84) - SUM(P79:P84) - V79,0)</f>
        <v>0</v>
      </c>
      <c r="J79" s="340">
        <v>2353020735</v>
      </c>
      <c r="K79" s="343" t="s">
        <v>156</v>
      </c>
      <c r="L79" s="310" t="s">
        <v>146</v>
      </c>
      <c r="M79" s="310"/>
      <c r="N79" s="244">
        <v>45322</v>
      </c>
      <c r="O79" s="312" t="s">
        <v>194</v>
      </c>
      <c r="P79" s="235">
        <v>5487</v>
      </c>
      <c r="Q79" s="236">
        <v>45334</v>
      </c>
      <c r="R79" s="237"/>
      <c r="S79" s="235"/>
      <c r="T79" s="235"/>
      <c r="U79" s="314" t="s">
        <v>279</v>
      </c>
      <c r="V79" s="346">
        <v>6765</v>
      </c>
      <c r="W79" s="308"/>
      <c r="X79" s="107">
        <v>29</v>
      </c>
    </row>
    <row r="80" spans="1:24" s="2" customFormat="1" x14ac:dyDescent="0.3">
      <c r="A80" s="331"/>
      <c r="B80" s="323"/>
      <c r="C80" s="323"/>
      <c r="D80" s="323"/>
      <c r="E80" s="323"/>
      <c r="F80" s="329"/>
      <c r="G80" s="338"/>
      <c r="H80" s="322"/>
      <c r="I80" s="330"/>
      <c r="J80" s="341"/>
      <c r="K80" s="344"/>
      <c r="L80" s="323"/>
      <c r="M80" s="323"/>
      <c r="N80" s="245">
        <v>45322</v>
      </c>
      <c r="O80" s="329"/>
      <c r="P80" s="238">
        <v>1770</v>
      </c>
      <c r="Q80" s="239">
        <v>45334</v>
      </c>
      <c r="R80" s="240"/>
      <c r="S80" s="238"/>
      <c r="T80" s="238"/>
      <c r="U80" s="322"/>
      <c r="V80" s="347"/>
      <c r="W80" s="325"/>
      <c r="X80" s="2">
        <v>29</v>
      </c>
    </row>
    <row r="81" spans="1:24" s="2" customFormat="1" x14ac:dyDescent="0.3">
      <c r="A81" s="331"/>
      <c r="B81" s="323"/>
      <c r="C81" s="323"/>
      <c r="D81" s="323"/>
      <c r="E81" s="323"/>
      <c r="F81" s="329"/>
      <c r="G81" s="338"/>
      <c r="H81" s="322"/>
      <c r="I81" s="330"/>
      <c r="J81" s="341"/>
      <c r="K81" s="344"/>
      <c r="L81" s="323"/>
      <c r="M81" s="323"/>
      <c r="N81" s="245">
        <v>45351</v>
      </c>
      <c r="O81" s="329"/>
      <c r="P81" s="238">
        <v>5394</v>
      </c>
      <c r="Q81" s="239">
        <v>45364</v>
      </c>
      <c r="R81" s="240"/>
      <c r="S81" s="238"/>
      <c r="T81" s="238"/>
      <c r="U81" s="322"/>
      <c r="V81" s="347"/>
      <c r="W81" s="325"/>
      <c r="X81" s="2">
        <v>29</v>
      </c>
    </row>
    <row r="82" spans="1:24" s="2" customFormat="1" x14ac:dyDescent="0.3">
      <c r="A82" s="331"/>
      <c r="B82" s="323"/>
      <c r="C82" s="323"/>
      <c r="D82" s="323"/>
      <c r="E82" s="323"/>
      <c r="F82" s="329"/>
      <c r="G82" s="338"/>
      <c r="H82" s="322"/>
      <c r="I82" s="330"/>
      <c r="J82" s="341"/>
      <c r="K82" s="344"/>
      <c r="L82" s="323"/>
      <c r="M82" s="323"/>
      <c r="N82" s="245">
        <v>45351</v>
      </c>
      <c r="O82" s="329"/>
      <c r="P82" s="238">
        <v>1740</v>
      </c>
      <c r="Q82" s="239">
        <v>45364</v>
      </c>
      <c r="R82" s="240"/>
      <c r="S82" s="238"/>
      <c r="T82" s="238"/>
      <c r="U82" s="322"/>
      <c r="V82" s="347"/>
      <c r="W82" s="325"/>
      <c r="X82" s="2">
        <v>29</v>
      </c>
    </row>
    <row r="83" spans="1:24" s="2" customFormat="1" x14ac:dyDescent="0.3">
      <c r="A83" s="331"/>
      <c r="B83" s="323"/>
      <c r="C83" s="323"/>
      <c r="D83" s="323"/>
      <c r="E83" s="323"/>
      <c r="F83" s="329"/>
      <c r="G83" s="338"/>
      <c r="H83" s="322"/>
      <c r="I83" s="330"/>
      <c r="J83" s="341"/>
      <c r="K83" s="344"/>
      <c r="L83" s="323"/>
      <c r="M83" s="323"/>
      <c r="N83" s="245">
        <v>45382</v>
      </c>
      <c r="O83" s="329"/>
      <c r="P83" s="238">
        <v>4092</v>
      </c>
      <c r="Q83" s="239">
        <v>45387</v>
      </c>
      <c r="R83" s="240"/>
      <c r="S83" s="238"/>
      <c r="T83" s="238"/>
      <c r="U83" s="322"/>
      <c r="V83" s="347"/>
      <c r="W83" s="325"/>
      <c r="X83" s="2">
        <v>29</v>
      </c>
    </row>
    <row r="84" spans="1:24" s="2" customFormat="1" x14ac:dyDescent="0.3">
      <c r="A84" s="319"/>
      <c r="B84" s="311"/>
      <c r="C84" s="311"/>
      <c r="D84" s="311"/>
      <c r="E84" s="311"/>
      <c r="F84" s="313"/>
      <c r="G84" s="339"/>
      <c r="H84" s="315"/>
      <c r="I84" s="317"/>
      <c r="J84" s="342"/>
      <c r="K84" s="345"/>
      <c r="L84" s="311"/>
      <c r="M84" s="311"/>
      <c r="N84" s="246">
        <v>45382</v>
      </c>
      <c r="O84" s="313"/>
      <c r="P84" s="241">
        <v>1320</v>
      </c>
      <c r="Q84" s="242">
        <v>45387</v>
      </c>
      <c r="R84" s="243"/>
      <c r="S84" s="241"/>
      <c r="T84" s="241"/>
      <c r="U84" s="315"/>
      <c r="V84" s="348"/>
      <c r="W84" s="309"/>
      <c r="X84" s="2">
        <v>29</v>
      </c>
    </row>
    <row r="85" spans="1:24" s="107" customFormat="1" ht="108" x14ac:dyDescent="0.3">
      <c r="A85" s="119">
        <v>13</v>
      </c>
      <c r="B85" s="120" t="s">
        <v>56</v>
      </c>
      <c r="C85" s="120" t="s">
        <v>146</v>
      </c>
      <c r="D85" s="120" t="s">
        <v>147</v>
      </c>
      <c r="E85" s="120" t="s">
        <v>211</v>
      </c>
      <c r="F85" s="128">
        <v>45316</v>
      </c>
      <c r="G85" s="121" t="s">
        <v>181</v>
      </c>
      <c r="H85" s="122">
        <v>72800</v>
      </c>
      <c r="I85" s="123">
        <f>IF(X85 = 30, H85 + SUM(S85:S85) - SUM(T85:T85) - SUM(P85:P85) - V85,0)</f>
        <v>0</v>
      </c>
      <c r="J85" s="124">
        <v>235303782209</v>
      </c>
      <c r="K85" s="125" t="s">
        <v>209</v>
      </c>
      <c r="L85" s="120" t="s">
        <v>146</v>
      </c>
      <c r="M85" s="120"/>
      <c r="N85" s="128"/>
      <c r="O85" s="128" t="s">
        <v>194</v>
      </c>
      <c r="P85" s="122">
        <v>72800</v>
      </c>
      <c r="Q85" s="121">
        <v>45327</v>
      </c>
      <c r="R85" s="120"/>
      <c r="S85" s="122"/>
      <c r="T85" s="122"/>
      <c r="U85" s="122"/>
      <c r="V85" s="126"/>
      <c r="W85" s="127"/>
      <c r="X85" s="107">
        <v>30</v>
      </c>
    </row>
    <row r="86" spans="1:24" s="107" customFormat="1" ht="108" x14ac:dyDescent="0.3">
      <c r="A86" s="150">
        <v>14</v>
      </c>
      <c r="B86" s="151" t="s">
        <v>56</v>
      </c>
      <c r="C86" s="151" t="s">
        <v>163</v>
      </c>
      <c r="D86" s="151" t="s">
        <v>147</v>
      </c>
      <c r="E86" s="151" t="s">
        <v>221</v>
      </c>
      <c r="F86" s="162">
        <v>45351</v>
      </c>
      <c r="G86" s="155" t="s">
        <v>225</v>
      </c>
      <c r="H86" s="152">
        <v>561150</v>
      </c>
      <c r="I86" s="153">
        <f>IF(X86 = 31, H86 + SUM(S86:S86) - SUM(T86:T86) - SUM(P86:P86) - V86,0)</f>
        <v>473324.85</v>
      </c>
      <c r="J86" s="163">
        <v>2310195709</v>
      </c>
      <c r="K86" s="164" t="s">
        <v>226</v>
      </c>
      <c r="L86" s="151" t="s">
        <v>146</v>
      </c>
      <c r="M86" s="151"/>
      <c r="N86" s="162">
        <v>45382</v>
      </c>
      <c r="O86" s="162" t="s">
        <v>194</v>
      </c>
      <c r="P86" s="152">
        <v>87825.15</v>
      </c>
      <c r="Q86" s="155">
        <v>45387</v>
      </c>
      <c r="R86" s="151"/>
      <c r="S86" s="152"/>
      <c r="T86" s="152"/>
      <c r="U86" s="152"/>
      <c r="V86" s="165"/>
      <c r="W86" s="154"/>
      <c r="X86" s="107">
        <v>31</v>
      </c>
    </row>
    <row r="87" spans="1:24" s="107" customFormat="1" ht="108" x14ac:dyDescent="0.3">
      <c r="A87" s="168">
        <v>15</v>
      </c>
      <c r="B87" s="169" t="s">
        <v>56</v>
      </c>
      <c r="C87" s="169" t="s">
        <v>146</v>
      </c>
      <c r="D87" s="169" t="s">
        <v>147</v>
      </c>
      <c r="E87" s="169" t="s">
        <v>227</v>
      </c>
      <c r="F87" s="176">
        <v>45289</v>
      </c>
      <c r="G87" s="170" t="s">
        <v>228</v>
      </c>
      <c r="H87" s="171">
        <v>26827.32</v>
      </c>
      <c r="I87" s="172">
        <f>IF(X87 = 32, H87 + SUM(S87:S87) - SUM(T87:T87) - SUM(P87:P87) - V87,0)</f>
        <v>20120.489999999998</v>
      </c>
      <c r="J87" s="173">
        <v>2353018870</v>
      </c>
      <c r="K87" s="174" t="s">
        <v>229</v>
      </c>
      <c r="L87" s="169" t="s">
        <v>146</v>
      </c>
      <c r="M87" s="169"/>
      <c r="N87" s="176">
        <v>45376</v>
      </c>
      <c r="O87" s="176" t="s">
        <v>194</v>
      </c>
      <c r="P87" s="171">
        <v>6706.83</v>
      </c>
      <c r="Q87" s="170">
        <v>45379</v>
      </c>
      <c r="R87" s="169"/>
      <c r="S87" s="171"/>
      <c r="T87" s="171"/>
      <c r="U87" s="171"/>
      <c r="V87" s="175"/>
      <c r="W87" s="167"/>
      <c r="X87" s="107">
        <v>32</v>
      </c>
    </row>
    <row r="88" spans="1:24" s="107" customFormat="1" ht="162" customHeight="1" x14ac:dyDescent="0.3">
      <c r="A88" s="318">
        <v>16</v>
      </c>
      <c r="B88" s="310" t="s">
        <v>56</v>
      </c>
      <c r="C88" s="310" t="s">
        <v>146</v>
      </c>
      <c r="D88" s="310" t="s">
        <v>147</v>
      </c>
      <c r="E88" s="310" t="s">
        <v>230</v>
      </c>
      <c r="F88" s="312">
        <v>45351</v>
      </c>
      <c r="G88" s="337" t="s">
        <v>204</v>
      </c>
      <c r="H88" s="314">
        <v>75440</v>
      </c>
      <c r="I88" s="316">
        <f>IF(X88 = 33, H88 + SUM(S88:S90) - SUM(T88:T90) - SUM(P88:P90) - V88,0)</f>
        <v>56370</v>
      </c>
      <c r="J88" s="340">
        <v>235305769122</v>
      </c>
      <c r="K88" s="343" t="s">
        <v>160</v>
      </c>
      <c r="L88" s="310" t="s">
        <v>146</v>
      </c>
      <c r="M88" s="310"/>
      <c r="N88" s="244">
        <v>45382</v>
      </c>
      <c r="O88" s="312" t="s">
        <v>194</v>
      </c>
      <c r="P88" s="238">
        <v>5320</v>
      </c>
      <c r="Q88" s="239">
        <v>45387</v>
      </c>
      <c r="R88" s="237"/>
      <c r="S88" s="235"/>
      <c r="T88" s="235"/>
      <c r="U88" s="314"/>
      <c r="V88" s="346"/>
      <c r="W88" s="308"/>
      <c r="X88" s="107">
        <v>33</v>
      </c>
    </row>
    <row r="89" spans="1:24" s="2" customFormat="1" x14ac:dyDescent="0.3">
      <c r="A89" s="331"/>
      <c r="B89" s="323"/>
      <c r="C89" s="323"/>
      <c r="D89" s="323"/>
      <c r="E89" s="323"/>
      <c r="F89" s="329"/>
      <c r="G89" s="338"/>
      <c r="H89" s="322"/>
      <c r="I89" s="330"/>
      <c r="J89" s="341"/>
      <c r="K89" s="344"/>
      <c r="L89" s="323"/>
      <c r="M89" s="323"/>
      <c r="N89" s="245">
        <v>45382</v>
      </c>
      <c r="O89" s="329"/>
      <c r="P89" s="238">
        <v>6080</v>
      </c>
      <c r="Q89" s="239">
        <v>45387</v>
      </c>
      <c r="R89" s="240"/>
      <c r="S89" s="238"/>
      <c r="T89" s="238"/>
      <c r="U89" s="322"/>
      <c r="V89" s="347"/>
      <c r="W89" s="325"/>
      <c r="X89" s="2">
        <v>33</v>
      </c>
    </row>
    <row r="90" spans="1:24" s="2" customFormat="1" x14ac:dyDescent="0.3">
      <c r="A90" s="319"/>
      <c r="B90" s="311"/>
      <c r="C90" s="311"/>
      <c r="D90" s="311"/>
      <c r="E90" s="311"/>
      <c r="F90" s="313"/>
      <c r="G90" s="339"/>
      <c r="H90" s="315"/>
      <c r="I90" s="317"/>
      <c r="J90" s="342"/>
      <c r="K90" s="345"/>
      <c r="L90" s="311"/>
      <c r="M90" s="311"/>
      <c r="N90" s="246">
        <v>45382</v>
      </c>
      <c r="O90" s="313"/>
      <c r="P90" s="241">
        <v>7670</v>
      </c>
      <c r="Q90" s="242">
        <v>45387</v>
      </c>
      <c r="R90" s="243"/>
      <c r="S90" s="241"/>
      <c r="T90" s="241"/>
      <c r="U90" s="315"/>
      <c r="V90" s="348"/>
      <c r="W90" s="309"/>
      <c r="X90" s="2">
        <v>33</v>
      </c>
    </row>
    <row r="91" spans="1:24" s="107" customFormat="1" ht="108" x14ac:dyDescent="0.3">
      <c r="A91" s="185">
        <v>17</v>
      </c>
      <c r="B91" s="188" t="s">
        <v>56</v>
      </c>
      <c r="C91" s="188" t="s">
        <v>146</v>
      </c>
      <c r="D91" s="188" t="s">
        <v>147</v>
      </c>
      <c r="E91" s="188" t="s">
        <v>244</v>
      </c>
      <c r="F91" s="195">
        <v>45369</v>
      </c>
      <c r="G91" s="191" t="s">
        <v>243</v>
      </c>
      <c r="H91" s="187">
        <v>17000</v>
      </c>
      <c r="I91" s="192">
        <f>IF(X91 = 34, H91 + SUM(S91:S91) - SUM(T91:T91) - SUM(P91:P91) - V91,0)</f>
        <v>0</v>
      </c>
      <c r="J91" s="193">
        <v>235002152355</v>
      </c>
      <c r="K91" s="194" t="s">
        <v>238</v>
      </c>
      <c r="L91" s="188" t="s">
        <v>146</v>
      </c>
      <c r="M91" s="188"/>
      <c r="N91" s="195">
        <v>45369</v>
      </c>
      <c r="O91" s="195" t="s">
        <v>194</v>
      </c>
      <c r="P91" s="187">
        <v>17000</v>
      </c>
      <c r="Q91" s="191">
        <v>45370</v>
      </c>
      <c r="R91" s="188"/>
      <c r="S91" s="187"/>
      <c r="T91" s="187"/>
      <c r="U91" s="187"/>
      <c r="V91" s="189"/>
      <c r="W91" s="190"/>
      <c r="X91" s="107">
        <v>34</v>
      </c>
    </row>
    <row r="92" spans="1:24" s="107" customFormat="1" ht="108" x14ac:dyDescent="0.3">
      <c r="A92" s="185">
        <v>18</v>
      </c>
      <c r="B92" s="188" t="s">
        <v>56</v>
      </c>
      <c r="C92" s="188" t="s">
        <v>146</v>
      </c>
      <c r="D92" s="188" t="s">
        <v>147</v>
      </c>
      <c r="E92" s="188" t="s">
        <v>254</v>
      </c>
      <c r="F92" s="195">
        <v>45372</v>
      </c>
      <c r="G92" s="191" t="s">
        <v>240</v>
      </c>
      <c r="H92" s="187">
        <v>4690.3999999999996</v>
      </c>
      <c r="I92" s="192">
        <f>IF(X92 = 35, H92 + SUM(S92:S92) - SUM(T92:T92) - SUM(P92:P92) - V92,0)</f>
        <v>4690.3999999999996</v>
      </c>
      <c r="J92" s="193">
        <v>7715995942</v>
      </c>
      <c r="K92" s="194" t="s">
        <v>241</v>
      </c>
      <c r="L92" s="188" t="s">
        <v>146</v>
      </c>
      <c r="M92" s="188"/>
      <c r="N92" s="195" t="s">
        <v>255</v>
      </c>
      <c r="O92" s="195" t="s">
        <v>194</v>
      </c>
      <c r="P92" s="187"/>
      <c r="Q92" s="191"/>
      <c r="R92" s="188"/>
      <c r="S92" s="187"/>
      <c r="T92" s="187"/>
      <c r="U92" s="187"/>
      <c r="V92" s="189"/>
      <c r="W92" s="190"/>
      <c r="X92" s="107">
        <v>35</v>
      </c>
    </row>
    <row r="93" spans="1:24" s="107" customFormat="1" ht="108" x14ac:dyDescent="0.3">
      <c r="A93" s="185">
        <v>19</v>
      </c>
      <c r="B93" s="188" t="s">
        <v>56</v>
      </c>
      <c r="C93" s="188" t="s">
        <v>146</v>
      </c>
      <c r="D93" s="188" t="s">
        <v>147</v>
      </c>
      <c r="E93" s="188" t="s">
        <v>253</v>
      </c>
      <c r="F93" s="195">
        <v>45372</v>
      </c>
      <c r="G93" s="191" t="s">
        <v>240</v>
      </c>
      <c r="H93" s="187">
        <v>43909.8</v>
      </c>
      <c r="I93" s="192">
        <f>IF(X93 = 36, H93 + SUM(S93:S93) - SUM(T93:T93) - SUM(P93:P93) - V93,0)</f>
        <v>43909.8</v>
      </c>
      <c r="J93" s="193">
        <v>7715995942</v>
      </c>
      <c r="K93" s="194" t="s">
        <v>241</v>
      </c>
      <c r="L93" s="188" t="s">
        <v>146</v>
      </c>
      <c r="M93" s="188"/>
      <c r="N93" s="195" t="s">
        <v>255</v>
      </c>
      <c r="O93" s="195" t="s">
        <v>194</v>
      </c>
      <c r="P93" s="187"/>
      <c r="Q93" s="191"/>
      <c r="R93" s="188"/>
      <c r="S93" s="187"/>
      <c r="T93" s="187"/>
      <c r="U93" s="187"/>
      <c r="V93" s="189"/>
      <c r="W93" s="190"/>
      <c r="X93" s="107">
        <v>36</v>
      </c>
    </row>
    <row r="94" spans="1:24" s="107" customFormat="1" ht="108" x14ac:dyDescent="0.3">
      <c r="A94" s="207">
        <v>20</v>
      </c>
      <c r="B94" s="210" t="s">
        <v>56</v>
      </c>
      <c r="C94" s="210" t="s">
        <v>146</v>
      </c>
      <c r="D94" s="210" t="s">
        <v>147</v>
      </c>
      <c r="E94" s="210" t="s">
        <v>120</v>
      </c>
      <c r="F94" s="218">
        <v>45378</v>
      </c>
      <c r="G94" s="213" t="s">
        <v>207</v>
      </c>
      <c r="H94" s="209">
        <v>39025</v>
      </c>
      <c r="I94" s="214">
        <f>IF(X94 = 37, H94 + SUM(S94:S94) - SUM(T94:T94) - SUM(P94:P94) - V94,0)</f>
        <v>0</v>
      </c>
      <c r="J94" s="215">
        <v>235303483777</v>
      </c>
      <c r="K94" s="216" t="s">
        <v>260</v>
      </c>
      <c r="L94" s="210" t="s">
        <v>146</v>
      </c>
      <c r="M94" s="210"/>
      <c r="N94" s="218"/>
      <c r="O94" s="208" t="s">
        <v>194</v>
      </c>
      <c r="P94" s="209">
        <v>39025</v>
      </c>
      <c r="Q94" s="213">
        <v>45383</v>
      </c>
      <c r="R94" s="210"/>
      <c r="S94" s="209"/>
      <c r="T94" s="209"/>
      <c r="U94" s="209"/>
      <c r="V94" s="211"/>
      <c r="W94" s="212"/>
      <c r="X94" s="107">
        <v>37</v>
      </c>
    </row>
    <row r="95" spans="1:24" s="107" customFormat="1" ht="108" x14ac:dyDescent="0.3">
      <c r="A95" s="221">
        <v>21</v>
      </c>
      <c r="B95" s="222" t="s">
        <v>56</v>
      </c>
      <c r="C95" s="222" t="s">
        <v>146</v>
      </c>
      <c r="D95" s="222" t="s">
        <v>147</v>
      </c>
      <c r="E95" s="222" t="s">
        <v>120</v>
      </c>
      <c r="F95" s="228">
        <v>45383</v>
      </c>
      <c r="G95" s="226" t="s">
        <v>265</v>
      </c>
      <c r="H95" s="224">
        <v>78554</v>
      </c>
      <c r="I95" s="225">
        <f>IF(X95 = 38, H95 + SUM(S95:S95) - SUM(T95:T95) - SUM(P95:P95) - V95,0)</f>
        <v>78554</v>
      </c>
      <c r="J95" s="229">
        <v>2353020735</v>
      </c>
      <c r="K95" s="230" t="s">
        <v>156</v>
      </c>
      <c r="L95" s="222" t="s">
        <v>146</v>
      </c>
      <c r="M95" s="222"/>
      <c r="N95" s="228"/>
      <c r="O95" s="228" t="s">
        <v>194</v>
      </c>
      <c r="P95" s="224"/>
      <c r="Q95" s="226"/>
      <c r="R95" s="222"/>
      <c r="S95" s="224"/>
      <c r="T95" s="224"/>
      <c r="U95" s="224"/>
      <c r="V95" s="231"/>
      <c r="W95" s="219"/>
      <c r="X95" s="107">
        <v>38</v>
      </c>
    </row>
    <row r="96" spans="1:24" s="107" customFormat="1" ht="108" x14ac:dyDescent="0.3">
      <c r="A96" s="221">
        <v>22</v>
      </c>
      <c r="B96" s="222" t="s">
        <v>56</v>
      </c>
      <c r="C96" s="222" t="s">
        <v>146</v>
      </c>
      <c r="D96" s="222" t="s">
        <v>147</v>
      </c>
      <c r="E96" s="222" t="s">
        <v>121</v>
      </c>
      <c r="F96" s="228">
        <v>45383</v>
      </c>
      <c r="G96" s="226" t="s">
        <v>265</v>
      </c>
      <c r="H96" s="224">
        <v>17220</v>
      </c>
      <c r="I96" s="225">
        <f>IF(X96 = 39, H96 + SUM(S96:S96) - SUM(T96:T96) - SUM(P96:P96) - V96,0)</f>
        <v>17220</v>
      </c>
      <c r="J96" s="229">
        <v>2353020735</v>
      </c>
      <c r="K96" s="230" t="s">
        <v>156</v>
      </c>
      <c r="L96" s="222" t="s">
        <v>146</v>
      </c>
      <c r="M96" s="222"/>
      <c r="N96" s="228"/>
      <c r="O96" s="228" t="s">
        <v>194</v>
      </c>
      <c r="P96" s="224"/>
      <c r="Q96" s="226"/>
      <c r="R96" s="222"/>
      <c r="S96" s="224"/>
      <c r="T96" s="224"/>
      <c r="U96" s="224"/>
      <c r="V96" s="231"/>
      <c r="W96" s="219"/>
      <c r="X96" s="107">
        <v>39</v>
      </c>
    </row>
    <row r="97" spans="1:24" s="107" customFormat="1" ht="108" x14ac:dyDescent="0.3">
      <c r="A97" s="221">
        <v>23</v>
      </c>
      <c r="B97" s="222" t="s">
        <v>56</v>
      </c>
      <c r="C97" s="222" t="s">
        <v>146</v>
      </c>
      <c r="D97" s="222" t="s">
        <v>220</v>
      </c>
      <c r="E97" s="222" t="s">
        <v>122</v>
      </c>
      <c r="F97" s="228">
        <v>45383</v>
      </c>
      <c r="G97" s="226" t="s">
        <v>265</v>
      </c>
      <c r="H97" s="224">
        <v>133217</v>
      </c>
      <c r="I97" s="225">
        <f>IF(X97 = 40, H97 + SUM(S97:S97) - SUM(T97:T97) - SUM(P97:P97) - V97,0)</f>
        <v>133217</v>
      </c>
      <c r="J97" s="229">
        <v>2353020735</v>
      </c>
      <c r="K97" s="230" t="s">
        <v>156</v>
      </c>
      <c r="L97" s="222" t="s">
        <v>146</v>
      </c>
      <c r="M97" s="222"/>
      <c r="N97" s="228"/>
      <c r="O97" s="228" t="s">
        <v>194</v>
      </c>
      <c r="P97" s="224"/>
      <c r="Q97" s="226"/>
      <c r="R97" s="222"/>
      <c r="S97" s="224"/>
      <c r="T97" s="224"/>
      <c r="U97" s="224"/>
      <c r="V97" s="231"/>
      <c r="W97" s="219"/>
      <c r="X97" s="107">
        <v>40</v>
      </c>
    </row>
    <row r="98" spans="1:24" s="107" customFormat="1" ht="108" customHeight="1" x14ac:dyDescent="0.3">
      <c r="A98" s="349">
        <v>24</v>
      </c>
      <c r="B98" s="358" t="s">
        <v>56</v>
      </c>
      <c r="C98" s="358" t="s">
        <v>146</v>
      </c>
      <c r="D98" s="358" t="s">
        <v>147</v>
      </c>
      <c r="E98" s="358" t="s">
        <v>123</v>
      </c>
      <c r="F98" s="352">
        <v>45383</v>
      </c>
      <c r="G98" s="367" t="s">
        <v>265</v>
      </c>
      <c r="H98" s="355">
        <v>540823.15</v>
      </c>
      <c r="I98" s="370">
        <f>IF(X98 = 41, H98 + SUM(S98:S103) - SUM(T98:T103) - SUM(P98:P103) - V98,0)</f>
        <v>337877.59</v>
      </c>
      <c r="J98" s="373">
        <v>2353020735</v>
      </c>
      <c r="K98" s="376" t="s">
        <v>156</v>
      </c>
      <c r="L98" s="358" t="s">
        <v>146</v>
      </c>
      <c r="M98" s="358"/>
      <c r="N98" s="253">
        <v>45387</v>
      </c>
      <c r="O98" s="352" t="s">
        <v>194</v>
      </c>
      <c r="P98" s="247">
        <v>17160</v>
      </c>
      <c r="Q98" s="256">
        <v>45408</v>
      </c>
      <c r="R98" s="248"/>
      <c r="S98" s="247"/>
      <c r="T98" s="247"/>
      <c r="U98" s="355"/>
      <c r="V98" s="361"/>
      <c r="W98" s="364"/>
      <c r="X98" s="107">
        <v>41</v>
      </c>
    </row>
    <row r="99" spans="1:24" s="2" customFormat="1" x14ac:dyDescent="0.3">
      <c r="A99" s="350"/>
      <c r="B99" s="359"/>
      <c r="C99" s="359"/>
      <c r="D99" s="359"/>
      <c r="E99" s="359"/>
      <c r="F99" s="353"/>
      <c r="G99" s="368"/>
      <c r="H99" s="356"/>
      <c r="I99" s="371"/>
      <c r="J99" s="374"/>
      <c r="K99" s="377"/>
      <c r="L99" s="359"/>
      <c r="M99" s="359"/>
      <c r="N99" s="254">
        <v>45387</v>
      </c>
      <c r="O99" s="353"/>
      <c r="P99" s="249">
        <v>49289.08</v>
      </c>
      <c r="Q99" s="257">
        <v>45408</v>
      </c>
      <c r="R99" s="250"/>
      <c r="S99" s="249"/>
      <c r="T99" s="249"/>
      <c r="U99" s="356"/>
      <c r="V99" s="362"/>
      <c r="W99" s="365"/>
      <c r="X99" s="2">
        <v>41</v>
      </c>
    </row>
    <row r="100" spans="1:24" s="2" customFormat="1" x14ac:dyDescent="0.3">
      <c r="A100" s="350"/>
      <c r="B100" s="359"/>
      <c r="C100" s="359"/>
      <c r="D100" s="359"/>
      <c r="E100" s="359"/>
      <c r="F100" s="353"/>
      <c r="G100" s="368"/>
      <c r="H100" s="356"/>
      <c r="I100" s="371"/>
      <c r="J100" s="374"/>
      <c r="K100" s="377"/>
      <c r="L100" s="359"/>
      <c r="M100" s="359"/>
      <c r="N100" s="254">
        <v>45387</v>
      </c>
      <c r="O100" s="353"/>
      <c r="P100" s="249">
        <v>3146.16</v>
      </c>
      <c r="Q100" s="257">
        <v>45408</v>
      </c>
      <c r="R100" s="250"/>
      <c r="S100" s="249"/>
      <c r="T100" s="249"/>
      <c r="U100" s="356"/>
      <c r="V100" s="362"/>
      <c r="W100" s="365"/>
      <c r="X100" s="2">
        <v>41</v>
      </c>
    </row>
    <row r="101" spans="1:24" s="2" customFormat="1" x14ac:dyDescent="0.3">
      <c r="A101" s="350"/>
      <c r="B101" s="359"/>
      <c r="C101" s="359"/>
      <c r="D101" s="359"/>
      <c r="E101" s="359"/>
      <c r="F101" s="353"/>
      <c r="G101" s="368"/>
      <c r="H101" s="356"/>
      <c r="I101" s="371"/>
      <c r="J101" s="374"/>
      <c r="K101" s="377"/>
      <c r="L101" s="359"/>
      <c r="M101" s="359"/>
      <c r="N101" s="254">
        <v>45401</v>
      </c>
      <c r="O101" s="353"/>
      <c r="P101" s="249">
        <v>32880</v>
      </c>
      <c r="Q101" s="257">
        <v>45408</v>
      </c>
      <c r="R101" s="250"/>
      <c r="S101" s="249"/>
      <c r="T101" s="249"/>
      <c r="U101" s="356"/>
      <c r="V101" s="362"/>
      <c r="W101" s="365"/>
      <c r="X101" s="2">
        <v>41</v>
      </c>
    </row>
    <row r="102" spans="1:24" s="2" customFormat="1" x14ac:dyDescent="0.3">
      <c r="A102" s="350"/>
      <c r="B102" s="359"/>
      <c r="C102" s="359"/>
      <c r="D102" s="359"/>
      <c r="E102" s="359"/>
      <c r="F102" s="353"/>
      <c r="G102" s="368"/>
      <c r="H102" s="356"/>
      <c r="I102" s="371"/>
      <c r="J102" s="374"/>
      <c r="K102" s="377"/>
      <c r="L102" s="359"/>
      <c r="M102" s="359"/>
      <c r="N102" s="254">
        <v>45401</v>
      </c>
      <c r="O102" s="353"/>
      <c r="P102" s="249">
        <v>94442.01</v>
      </c>
      <c r="Q102" s="257">
        <v>45408</v>
      </c>
      <c r="R102" s="250"/>
      <c r="S102" s="249"/>
      <c r="T102" s="249"/>
      <c r="U102" s="356"/>
      <c r="V102" s="362"/>
      <c r="W102" s="365"/>
      <c r="X102" s="2">
        <v>41</v>
      </c>
    </row>
    <row r="103" spans="1:24" s="2" customFormat="1" x14ac:dyDescent="0.3">
      <c r="A103" s="351"/>
      <c r="B103" s="360"/>
      <c r="C103" s="360"/>
      <c r="D103" s="360"/>
      <c r="E103" s="360"/>
      <c r="F103" s="354"/>
      <c r="G103" s="369"/>
      <c r="H103" s="357"/>
      <c r="I103" s="372"/>
      <c r="J103" s="375"/>
      <c r="K103" s="378"/>
      <c r="L103" s="360"/>
      <c r="M103" s="360"/>
      <c r="N103" s="254">
        <v>45401</v>
      </c>
      <c r="O103" s="354"/>
      <c r="P103" s="251">
        <v>6028.31</v>
      </c>
      <c r="Q103" s="257">
        <v>45408</v>
      </c>
      <c r="R103" s="252"/>
      <c r="S103" s="251"/>
      <c r="T103" s="251"/>
      <c r="U103" s="357"/>
      <c r="V103" s="363"/>
      <c r="W103" s="366"/>
      <c r="X103" s="2">
        <v>41</v>
      </c>
    </row>
    <row r="104" spans="1:24" x14ac:dyDescent="0.3">
      <c r="B104" s="109"/>
      <c r="X104" s="8">
        <v>42</v>
      </c>
    </row>
    <row r="105" spans="1:24" x14ac:dyDescent="0.3">
      <c r="B105" s="109"/>
    </row>
    <row r="106" spans="1:24" x14ac:dyDescent="0.3">
      <c r="B106" s="109"/>
    </row>
    <row r="107" spans="1:24" x14ac:dyDescent="0.3">
      <c r="B107" s="109"/>
      <c r="E107" s="45"/>
    </row>
  </sheetData>
  <sheetProtection algorithmName="SHA-512" hashValue="dnRFOG76oqPHl3dnFcKbrRayC+w5YHzkeYsDzRAFC4BK7oq3+kr0TxQC9toy7wGBf1vxjUQqikLWp0QD1yRFOw==" saltValue="18o4R6xbQ25Pi6Z3g+kZgw==" spinCount="100000" sheet="1" objects="1" scenarios="1" formatCells="0" formatColumns="0" formatRows="0"/>
  <mergeCells count="224">
    <mergeCell ref="W39:W41"/>
    <mergeCell ref="M39:M41"/>
    <mergeCell ref="S2:U2"/>
    <mergeCell ref="F2:G2"/>
    <mergeCell ref="N2:O2"/>
    <mergeCell ref="U28:U32"/>
    <mergeCell ref="B28:B32"/>
    <mergeCell ref="V28:V32"/>
    <mergeCell ref="C28:C32"/>
    <mergeCell ref="W28:W32"/>
    <mergeCell ref="D28:D32"/>
    <mergeCell ref="E28:E32"/>
    <mergeCell ref="F28:F32"/>
    <mergeCell ref="G28:G32"/>
    <mergeCell ref="H28:H32"/>
    <mergeCell ref="I28:I32"/>
    <mergeCell ref="J28:J32"/>
    <mergeCell ref="K28:K32"/>
    <mergeCell ref="L28:L32"/>
    <mergeCell ref="M28:M32"/>
    <mergeCell ref="B33:B37"/>
    <mergeCell ref="D11:D14"/>
    <mergeCell ref="A9:A10"/>
    <mergeCell ref="O9:O10"/>
    <mergeCell ref="U9:U10"/>
    <mergeCell ref="B9:B10"/>
    <mergeCell ref="V9:V10"/>
    <mergeCell ref="C9:C10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V33:V37"/>
    <mergeCell ref="C33:C37"/>
    <mergeCell ref="W33:W37"/>
    <mergeCell ref="D33:D37"/>
    <mergeCell ref="E33:E37"/>
    <mergeCell ref="A11:A14"/>
    <mergeCell ref="O11:O14"/>
    <mergeCell ref="U11:U14"/>
    <mergeCell ref="B11:B14"/>
    <mergeCell ref="V11:V14"/>
    <mergeCell ref="C11:C14"/>
    <mergeCell ref="W11:W14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A25:A27"/>
    <mergeCell ref="A28:A32"/>
    <mergeCell ref="O28:O32"/>
    <mergeCell ref="A33:A37"/>
    <mergeCell ref="O33:O37"/>
    <mergeCell ref="B25:B27"/>
    <mergeCell ref="V25:V27"/>
    <mergeCell ref="C25:C27"/>
    <mergeCell ref="W25:W27"/>
    <mergeCell ref="D25:D27"/>
    <mergeCell ref="E25:E27"/>
    <mergeCell ref="F25:F27"/>
    <mergeCell ref="G25:G27"/>
    <mergeCell ref="H25:H27"/>
    <mergeCell ref="I25:I27"/>
    <mergeCell ref="J25:J27"/>
    <mergeCell ref="K25:K27"/>
    <mergeCell ref="L25:L27"/>
    <mergeCell ref="M25:M27"/>
    <mergeCell ref="A15:A24"/>
    <mergeCell ref="O15:O24"/>
    <mergeCell ref="U15:U24"/>
    <mergeCell ref="B15:B24"/>
    <mergeCell ref="V15:V24"/>
    <mergeCell ref="C15:C24"/>
    <mergeCell ref="W15:W24"/>
    <mergeCell ref="D15:D24"/>
    <mergeCell ref="E15:E24"/>
    <mergeCell ref="F15:F24"/>
    <mergeCell ref="G15:G24"/>
    <mergeCell ref="H15:H24"/>
    <mergeCell ref="I15:I24"/>
    <mergeCell ref="J15:J24"/>
    <mergeCell ref="K15:K24"/>
    <mergeCell ref="L15:L24"/>
    <mergeCell ref="M15:M24"/>
    <mergeCell ref="W79:W84"/>
    <mergeCell ref="E11:E14"/>
    <mergeCell ref="F11:F14"/>
    <mergeCell ref="G11:G14"/>
    <mergeCell ref="H11:H14"/>
    <mergeCell ref="I11:I14"/>
    <mergeCell ref="J11:J14"/>
    <mergeCell ref="K11:K14"/>
    <mergeCell ref="L11:L14"/>
    <mergeCell ref="M11:M14"/>
    <mergeCell ref="O25:O27"/>
    <mergeCell ref="U25:U27"/>
    <mergeCell ref="U33:U37"/>
    <mergeCell ref="F33:F37"/>
    <mergeCell ref="G33:G37"/>
    <mergeCell ref="H33:H37"/>
    <mergeCell ref="I33:I37"/>
    <mergeCell ref="J33:J37"/>
    <mergeCell ref="K33:K37"/>
    <mergeCell ref="L33:L37"/>
    <mergeCell ref="M33:M37"/>
    <mergeCell ref="O39:O41"/>
    <mergeCell ref="U39:U41"/>
    <mergeCell ref="V39:V41"/>
    <mergeCell ref="M79:M84"/>
    <mergeCell ref="A67:A72"/>
    <mergeCell ref="O67:O72"/>
    <mergeCell ref="U67:U72"/>
    <mergeCell ref="B67:B72"/>
    <mergeCell ref="V67:V72"/>
    <mergeCell ref="C67:C72"/>
    <mergeCell ref="D79:D84"/>
    <mergeCell ref="E79:E84"/>
    <mergeCell ref="F79:F84"/>
    <mergeCell ref="G79:G84"/>
    <mergeCell ref="H79:H84"/>
    <mergeCell ref="I79:I84"/>
    <mergeCell ref="J79:J84"/>
    <mergeCell ref="K79:K84"/>
    <mergeCell ref="L79:L84"/>
    <mergeCell ref="A79:A84"/>
    <mergeCell ref="O79:O84"/>
    <mergeCell ref="U79:U84"/>
    <mergeCell ref="B79:B84"/>
    <mergeCell ref="V79:V84"/>
    <mergeCell ref="C79:C84"/>
    <mergeCell ref="W67:W72"/>
    <mergeCell ref="D67:D72"/>
    <mergeCell ref="E67:E72"/>
    <mergeCell ref="F67:F72"/>
    <mergeCell ref="G67:G72"/>
    <mergeCell ref="H67:H72"/>
    <mergeCell ref="I67:I72"/>
    <mergeCell ref="J67:J72"/>
    <mergeCell ref="K67:K72"/>
    <mergeCell ref="L67:L72"/>
    <mergeCell ref="M67:M72"/>
    <mergeCell ref="A42:A66"/>
    <mergeCell ref="O42:O66"/>
    <mergeCell ref="U42:U66"/>
    <mergeCell ref="B42:B66"/>
    <mergeCell ref="V42:V66"/>
    <mergeCell ref="C42:C66"/>
    <mergeCell ref="W42:W66"/>
    <mergeCell ref="D42:D66"/>
    <mergeCell ref="E42:E66"/>
    <mergeCell ref="F42:F66"/>
    <mergeCell ref="G42:G66"/>
    <mergeCell ref="H42:H66"/>
    <mergeCell ref="I42:I66"/>
    <mergeCell ref="J42:J66"/>
    <mergeCell ref="K42:K66"/>
    <mergeCell ref="L42:L66"/>
    <mergeCell ref="M42:M66"/>
    <mergeCell ref="A73:A78"/>
    <mergeCell ref="O73:O78"/>
    <mergeCell ref="U73:U78"/>
    <mergeCell ref="B73:B78"/>
    <mergeCell ref="V73:V78"/>
    <mergeCell ref="C73:C78"/>
    <mergeCell ref="W73:W78"/>
    <mergeCell ref="D73:D78"/>
    <mergeCell ref="E73:E78"/>
    <mergeCell ref="F73:F78"/>
    <mergeCell ref="G73:G78"/>
    <mergeCell ref="H73:H78"/>
    <mergeCell ref="I73:I78"/>
    <mergeCell ref="J73:J78"/>
    <mergeCell ref="K73:K78"/>
    <mergeCell ref="L73:L78"/>
    <mergeCell ref="M73:M78"/>
    <mergeCell ref="A88:A90"/>
    <mergeCell ref="O88:O90"/>
    <mergeCell ref="U88:U90"/>
    <mergeCell ref="B88:B90"/>
    <mergeCell ref="V88:V90"/>
    <mergeCell ref="C88:C90"/>
    <mergeCell ref="W88:W90"/>
    <mergeCell ref="A98:A103"/>
    <mergeCell ref="O98:O103"/>
    <mergeCell ref="U98:U103"/>
    <mergeCell ref="B98:B103"/>
    <mergeCell ref="V98:V103"/>
    <mergeCell ref="C98:C103"/>
    <mergeCell ref="W98:W103"/>
    <mergeCell ref="D98:D103"/>
    <mergeCell ref="E98:E103"/>
    <mergeCell ref="F98:F103"/>
    <mergeCell ref="G98:G103"/>
    <mergeCell ref="H98:H103"/>
    <mergeCell ref="I98:I103"/>
    <mergeCell ref="J98:J103"/>
    <mergeCell ref="K98:K103"/>
    <mergeCell ref="L98:L103"/>
    <mergeCell ref="M98:M103"/>
    <mergeCell ref="M88:M90"/>
    <mergeCell ref="D88:D90"/>
    <mergeCell ref="E88:E90"/>
    <mergeCell ref="F88:F90"/>
    <mergeCell ref="G88:G90"/>
    <mergeCell ref="H88:H90"/>
    <mergeCell ref="I88:I90"/>
    <mergeCell ref="J88:J90"/>
    <mergeCell ref="K88:K90"/>
    <mergeCell ref="L88:L9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3"/>
  <sheetViews>
    <sheetView showGridLines="0" topLeftCell="F1" zoomScale="70" zoomScaleNormal="70" workbookViewId="0">
      <pane ySplit="8" topLeftCell="A9" activePane="bottomLeft" state="frozen"/>
      <selection pane="bottomLeft" activeCell="O11" sqref="O11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429" t="s">
        <v>24</v>
      </c>
      <c r="F2" s="430"/>
      <c r="G2" s="98">
        <f>SUM(G9:G9999)</f>
        <v>2306536.8499999996</v>
      </c>
      <c r="L2" s="440" t="s">
        <v>137</v>
      </c>
      <c r="M2" s="441"/>
      <c r="N2" s="87">
        <f>SUM(N9:N9999)</f>
        <v>593956.61</v>
      </c>
      <c r="P2" s="86"/>
      <c r="Q2" s="333" t="s">
        <v>45</v>
      </c>
      <c r="R2" s="334"/>
      <c r="S2" s="335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ht="16.8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hidden="1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7" customFormat="1" ht="37.5" customHeight="1" x14ac:dyDescent="0.3">
      <c r="A9" s="451">
        <v>1</v>
      </c>
      <c r="B9" s="434"/>
      <c r="C9" s="434" t="s">
        <v>171</v>
      </c>
      <c r="D9" s="434" t="s">
        <v>152</v>
      </c>
      <c r="E9" s="454">
        <v>45289</v>
      </c>
      <c r="F9" s="448" t="s">
        <v>153</v>
      </c>
      <c r="G9" s="431">
        <v>1201103.3999999999</v>
      </c>
      <c r="H9" s="442">
        <f>IF(V9 = 1, G9 + SUM(Q9:Q11) - SUM(R9:R11) - SUM(N9:N11) - T9,0)</f>
        <v>607146.78999999992</v>
      </c>
      <c r="I9" s="445">
        <v>2312054894</v>
      </c>
      <c r="J9" s="434" t="s">
        <v>154</v>
      </c>
      <c r="K9" s="434" t="s">
        <v>155</v>
      </c>
      <c r="L9" s="114">
        <v>45322</v>
      </c>
      <c r="M9" s="434" t="s">
        <v>151</v>
      </c>
      <c r="N9" s="110">
        <v>204433.07</v>
      </c>
      <c r="O9" s="114">
        <v>45337</v>
      </c>
      <c r="P9" s="111"/>
      <c r="Q9" s="110"/>
      <c r="R9" s="110"/>
      <c r="S9" s="448"/>
      <c r="T9" s="431"/>
      <c r="U9" s="437"/>
      <c r="V9" s="107">
        <v>1</v>
      </c>
    </row>
    <row r="10" spans="1:22" s="2" customFormat="1" x14ac:dyDescent="0.3">
      <c r="A10" s="452"/>
      <c r="B10" s="435"/>
      <c r="C10" s="435"/>
      <c r="D10" s="435"/>
      <c r="E10" s="455"/>
      <c r="F10" s="449"/>
      <c r="G10" s="432"/>
      <c r="H10" s="443"/>
      <c r="I10" s="446"/>
      <c r="J10" s="435"/>
      <c r="K10" s="435"/>
      <c r="L10" s="116">
        <v>45351</v>
      </c>
      <c r="M10" s="435"/>
      <c r="N10" s="117">
        <v>219406.46</v>
      </c>
      <c r="O10" s="116">
        <v>45376</v>
      </c>
      <c r="P10" s="118"/>
      <c r="Q10" s="117"/>
      <c r="R10" s="117"/>
      <c r="S10" s="449"/>
      <c r="T10" s="432"/>
      <c r="U10" s="438"/>
      <c r="V10" s="2">
        <v>1</v>
      </c>
    </row>
    <row r="11" spans="1:22" s="2" customFormat="1" x14ac:dyDescent="0.3">
      <c r="A11" s="453"/>
      <c r="B11" s="436"/>
      <c r="C11" s="436"/>
      <c r="D11" s="436"/>
      <c r="E11" s="456"/>
      <c r="F11" s="450"/>
      <c r="G11" s="433"/>
      <c r="H11" s="444"/>
      <c r="I11" s="447"/>
      <c r="J11" s="436"/>
      <c r="K11" s="436"/>
      <c r="L11" s="115">
        <v>45382</v>
      </c>
      <c r="M11" s="436"/>
      <c r="N11" s="112">
        <v>170117.08</v>
      </c>
      <c r="O11" s="115">
        <v>45406</v>
      </c>
      <c r="P11" s="113"/>
      <c r="Q11" s="112"/>
      <c r="R11" s="112"/>
      <c r="S11" s="450"/>
      <c r="T11" s="433"/>
      <c r="U11" s="439"/>
      <c r="V11" s="2">
        <v>1</v>
      </c>
    </row>
    <row r="12" spans="1:22" s="107" customFormat="1" ht="108" x14ac:dyDescent="0.3">
      <c r="A12" s="185">
        <v>2</v>
      </c>
      <c r="B12" s="188"/>
      <c r="C12" s="188" t="s">
        <v>147</v>
      </c>
      <c r="D12" s="188" t="s">
        <v>239</v>
      </c>
      <c r="E12" s="195">
        <v>45366</v>
      </c>
      <c r="F12" s="191" t="s">
        <v>240</v>
      </c>
      <c r="G12" s="187">
        <v>1105433.45</v>
      </c>
      <c r="H12" s="192">
        <f>IF(V12 = 2, G12 + SUM(Q12:Q12) - SUM(R12:R12) - SUM(N12:N12) - T12,0)</f>
        <v>1105433.45</v>
      </c>
      <c r="I12" s="197">
        <v>7715995942</v>
      </c>
      <c r="J12" s="188" t="s">
        <v>241</v>
      </c>
      <c r="K12" s="188" t="s">
        <v>242</v>
      </c>
      <c r="L12" s="195"/>
      <c r="M12" s="188" t="s">
        <v>194</v>
      </c>
      <c r="N12" s="187"/>
      <c r="O12" s="195"/>
      <c r="P12" s="191"/>
      <c r="Q12" s="187"/>
      <c r="R12" s="187"/>
      <c r="S12" s="191"/>
      <c r="T12" s="187"/>
      <c r="U12" s="190"/>
      <c r="V12" s="107">
        <v>2</v>
      </c>
    </row>
    <row r="13" spans="1:22" x14ac:dyDescent="0.3">
      <c r="V13" s="8">
        <v>3</v>
      </c>
    </row>
  </sheetData>
  <sheetProtection algorithmName="SHA-512" hashValue="mJyK45sSlUB7aSKM32nRBpmwQFei3frBZ3AK2QkXTaGy3gXU1kFgIyQiqtjCNFEnITYWD+699sh7Q0xhUwCdRQ==" saltValue="GRZN2iv899S10DFSUf0N6w==" spinCount="100000" sheet="1" objects="1" scenarios="1" formatCells="0" formatColumns="0" formatRows="0"/>
  <mergeCells count="18">
    <mergeCell ref="A9:A11"/>
    <mergeCell ref="B9:B11"/>
    <mergeCell ref="D9:D11"/>
    <mergeCell ref="E9:E11"/>
    <mergeCell ref="F9:F11"/>
    <mergeCell ref="T9:T11"/>
    <mergeCell ref="C9:C11"/>
    <mergeCell ref="U9:U11"/>
    <mergeCell ref="Q2:S2"/>
    <mergeCell ref="E2:F2"/>
    <mergeCell ref="L2:M2"/>
    <mergeCell ref="G9:G11"/>
    <mergeCell ref="H9:H11"/>
    <mergeCell ref="I9:I11"/>
    <mergeCell ref="J9:J11"/>
    <mergeCell ref="K9:K11"/>
    <mergeCell ref="M9:M11"/>
    <mergeCell ref="S9:S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2"/>
  <sheetViews>
    <sheetView showGridLines="0" topLeftCell="M1" zoomScale="70" zoomScaleNormal="70" workbookViewId="0">
      <pane ySplit="8" topLeftCell="A10" activePane="bottomLeft" state="frozen"/>
      <selection pane="bottomLeft" activeCell="T12" sqref="T12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429" t="s">
        <v>139</v>
      </c>
      <c r="F2" s="430"/>
      <c r="G2" s="100">
        <f>SUM(G9:G9999)</f>
        <v>740465.76</v>
      </c>
      <c r="H2" s="15"/>
      <c r="O2" s="429" t="s">
        <v>24</v>
      </c>
      <c r="P2" s="430"/>
      <c r="Q2" s="98">
        <f>SUM(Q9:Q9999)</f>
        <v>392446.84</v>
      </c>
      <c r="T2" s="333" t="s">
        <v>137</v>
      </c>
      <c r="U2" s="335"/>
      <c r="V2" s="87">
        <f>SUM(V9:V9999)</f>
        <v>200632.93</v>
      </c>
      <c r="X2" s="86"/>
      <c r="Y2" s="333" t="s">
        <v>45</v>
      </c>
      <c r="Z2" s="334"/>
      <c r="AA2" s="335"/>
      <c r="AB2" s="88">
        <f>SUM(AB9:AB9999)</f>
        <v>0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157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7" customFormat="1" ht="144" customHeight="1" x14ac:dyDescent="0.3">
      <c r="A9" s="349">
        <v>1</v>
      </c>
      <c r="B9" s="358" t="s">
        <v>56</v>
      </c>
      <c r="C9" s="358" t="s">
        <v>188</v>
      </c>
      <c r="D9" s="358" t="s">
        <v>147</v>
      </c>
      <c r="E9" s="358" t="s">
        <v>189</v>
      </c>
      <c r="F9" s="358" t="s">
        <v>190</v>
      </c>
      <c r="G9" s="355">
        <v>740465.76</v>
      </c>
      <c r="H9" s="370">
        <f>IF(AD9 = 1, G9 - Q9,0)</f>
        <v>348018.92</v>
      </c>
      <c r="I9" s="355">
        <v>5</v>
      </c>
      <c r="J9" s="355"/>
      <c r="K9" s="358" t="s">
        <v>163</v>
      </c>
      <c r="L9" s="358" t="s">
        <v>191</v>
      </c>
      <c r="M9" s="358" t="s">
        <v>189</v>
      </c>
      <c r="N9" s="352">
        <v>45286</v>
      </c>
      <c r="O9" s="460">
        <v>2304067057</v>
      </c>
      <c r="P9" s="463" t="s">
        <v>192</v>
      </c>
      <c r="Q9" s="355">
        <v>392446.84</v>
      </c>
      <c r="R9" s="370">
        <f>IF(AD9 = 1, Q9 + SUM(Y9:Y11) - SUM(Z9:Z11) - SUM(V9:V11) - AB9,0)</f>
        <v>191813.91000000003</v>
      </c>
      <c r="S9" s="358"/>
      <c r="T9" s="253">
        <v>45322</v>
      </c>
      <c r="U9" s="367" t="s">
        <v>165</v>
      </c>
      <c r="V9" s="247">
        <v>68347.48</v>
      </c>
      <c r="W9" s="253">
        <v>45324</v>
      </c>
      <c r="X9" s="248"/>
      <c r="Y9" s="247"/>
      <c r="Z9" s="247"/>
      <c r="AA9" s="367"/>
      <c r="AB9" s="355"/>
      <c r="AC9" s="457"/>
      <c r="AD9" s="107">
        <v>1</v>
      </c>
    </row>
    <row r="10" spans="1:33" s="2" customFormat="1" x14ac:dyDescent="0.3">
      <c r="A10" s="350"/>
      <c r="B10" s="359"/>
      <c r="C10" s="359"/>
      <c r="D10" s="359"/>
      <c r="E10" s="359"/>
      <c r="F10" s="359"/>
      <c r="G10" s="356"/>
      <c r="H10" s="371"/>
      <c r="I10" s="356"/>
      <c r="J10" s="356"/>
      <c r="K10" s="359"/>
      <c r="L10" s="359"/>
      <c r="M10" s="359"/>
      <c r="N10" s="353"/>
      <c r="O10" s="461"/>
      <c r="P10" s="464"/>
      <c r="Q10" s="356"/>
      <c r="R10" s="371"/>
      <c r="S10" s="359"/>
      <c r="T10" s="254">
        <v>45351</v>
      </c>
      <c r="U10" s="368"/>
      <c r="V10" s="249">
        <v>63937.97</v>
      </c>
      <c r="W10" s="254">
        <v>45357</v>
      </c>
      <c r="X10" s="250"/>
      <c r="Y10" s="249"/>
      <c r="Z10" s="249"/>
      <c r="AA10" s="368"/>
      <c r="AB10" s="356"/>
      <c r="AC10" s="458"/>
      <c r="AD10" s="2">
        <v>1</v>
      </c>
    </row>
    <row r="11" spans="1:33" s="2" customFormat="1" x14ac:dyDescent="0.3">
      <c r="A11" s="351"/>
      <c r="B11" s="360"/>
      <c r="C11" s="360"/>
      <c r="D11" s="360"/>
      <c r="E11" s="360"/>
      <c r="F11" s="360"/>
      <c r="G11" s="357"/>
      <c r="H11" s="372"/>
      <c r="I11" s="357"/>
      <c r="J11" s="357"/>
      <c r="K11" s="360"/>
      <c r="L11" s="360"/>
      <c r="M11" s="360"/>
      <c r="N11" s="354"/>
      <c r="O11" s="462"/>
      <c r="P11" s="465"/>
      <c r="Q11" s="357"/>
      <c r="R11" s="372"/>
      <c r="S11" s="360"/>
      <c r="T11" s="255">
        <v>45384</v>
      </c>
      <c r="U11" s="369"/>
      <c r="V11" s="251">
        <v>68347.48</v>
      </c>
      <c r="W11" s="255">
        <v>45385</v>
      </c>
      <c r="X11" s="252"/>
      <c r="Y11" s="251"/>
      <c r="Z11" s="251"/>
      <c r="AA11" s="369"/>
      <c r="AB11" s="357"/>
      <c r="AC11" s="459"/>
      <c r="AD11" s="2">
        <v>1</v>
      </c>
    </row>
    <row r="12" spans="1:33" x14ac:dyDescent="0.3">
      <c r="AD12" s="8">
        <v>2</v>
      </c>
    </row>
  </sheetData>
  <sheetProtection algorithmName="SHA-512" hashValue="qRt8UxP2GbLsG5eWkFu5wuEiZf+FlxbgBkVDmdxAXrnN4CuQL1e58IXnBpjo7pjy0klu0AfZo2Pxb+0vXpJv1Q==" saltValue="yOUj/UTXB4KjC6PcGkTNdA==" spinCount="100000" sheet="1" objects="1" scenarios="1" formatCells="0" formatColumns="0" formatRows="0"/>
  <mergeCells count="27">
    <mergeCell ref="A9:A11"/>
    <mergeCell ref="U9:U11"/>
    <mergeCell ref="AA9:AA11"/>
    <mergeCell ref="B9:B11"/>
    <mergeCell ref="Q9:Q11"/>
    <mergeCell ref="O9:O11"/>
    <mergeCell ref="P9:P11"/>
    <mergeCell ref="E2:F2"/>
    <mergeCell ref="O2:P2"/>
    <mergeCell ref="Y2:AA2"/>
    <mergeCell ref="T2:U2"/>
    <mergeCell ref="R9:R11"/>
    <mergeCell ref="S9:S11"/>
    <mergeCell ref="AB9:AB11"/>
    <mergeCell ref="C9:C11"/>
    <mergeCell ref="AC9:A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31"/>
  <sheetViews>
    <sheetView showGridLines="0" topLeftCell="P1" zoomScale="70" zoomScaleNormal="70" workbookViewId="0">
      <pane ySplit="8" topLeftCell="A12" activePane="bottomLeft" state="frozen"/>
      <selection pane="bottomLeft" activeCell="P9" sqref="P9:P30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429" t="s">
        <v>139</v>
      </c>
      <c r="F2" s="430"/>
      <c r="G2" s="100">
        <f>SUM(G9:G9999)</f>
        <v>667469.44999999995</v>
      </c>
      <c r="H2" s="15"/>
      <c r="O2" s="429" t="s">
        <v>24</v>
      </c>
      <c r="P2" s="430"/>
      <c r="Q2" s="98">
        <f>SUM(Q9:Q9999)</f>
        <v>667469.44999999995</v>
      </c>
      <c r="T2" s="333" t="s">
        <v>137</v>
      </c>
      <c r="U2" s="335"/>
      <c r="V2" s="87">
        <f>SUM(V9:V9999)</f>
        <v>655314.62</v>
      </c>
      <c r="X2" s="86"/>
      <c r="Y2" s="333" t="s">
        <v>45</v>
      </c>
      <c r="Z2" s="334"/>
      <c r="AA2" s="335"/>
      <c r="AB2" s="88">
        <f>SUM(AB9:AB9999)</f>
        <v>12154.83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7" customFormat="1" ht="144" customHeight="1" x14ac:dyDescent="0.3">
      <c r="A9" s="349">
        <v>1</v>
      </c>
      <c r="B9" s="358" t="s">
        <v>56</v>
      </c>
      <c r="C9" s="358" t="s">
        <v>182</v>
      </c>
      <c r="D9" s="358" t="s">
        <v>147</v>
      </c>
      <c r="E9" s="358" t="s">
        <v>183</v>
      </c>
      <c r="F9" s="358" t="s">
        <v>184</v>
      </c>
      <c r="G9" s="355">
        <v>667469.44999999995</v>
      </c>
      <c r="H9" s="370">
        <f>IF(AD9 = 1, G9 - Q9,0)</f>
        <v>0</v>
      </c>
      <c r="I9" s="355">
        <v>1</v>
      </c>
      <c r="J9" s="355"/>
      <c r="K9" s="358" t="s">
        <v>163</v>
      </c>
      <c r="L9" s="358" t="s">
        <v>185</v>
      </c>
      <c r="M9" s="358" t="s">
        <v>183</v>
      </c>
      <c r="N9" s="352">
        <v>45285</v>
      </c>
      <c r="O9" s="358" t="s">
        <v>186</v>
      </c>
      <c r="P9" s="358" t="s">
        <v>187</v>
      </c>
      <c r="Q9" s="355">
        <v>667469.44999999995</v>
      </c>
      <c r="R9" s="370">
        <f>IF(AD9 = 1, Q9 + SUM(Y9:Y30) - SUM(Z9:Z30) - SUM(V9:V30) - AB9,0)</f>
        <v>-4.1836756281554699E-11</v>
      </c>
      <c r="S9" s="358"/>
      <c r="T9" s="253">
        <v>45324</v>
      </c>
      <c r="U9" s="358" t="s">
        <v>165</v>
      </c>
      <c r="V9" s="247">
        <v>23760</v>
      </c>
      <c r="W9" s="253">
        <v>45334</v>
      </c>
      <c r="X9" s="248"/>
      <c r="Y9" s="247"/>
      <c r="Z9" s="247"/>
      <c r="AA9" s="358"/>
      <c r="AB9" s="355">
        <v>12154.83</v>
      </c>
      <c r="AC9" s="364"/>
      <c r="AD9" s="107">
        <v>1</v>
      </c>
    </row>
    <row r="10" spans="1:33" s="2" customFormat="1" x14ac:dyDescent="0.3">
      <c r="A10" s="350"/>
      <c r="B10" s="359"/>
      <c r="C10" s="359"/>
      <c r="D10" s="359"/>
      <c r="E10" s="359"/>
      <c r="F10" s="359"/>
      <c r="G10" s="356"/>
      <c r="H10" s="371"/>
      <c r="I10" s="356"/>
      <c r="J10" s="356"/>
      <c r="K10" s="359"/>
      <c r="L10" s="359"/>
      <c r="M10" s="359"/>
      <c r="N10" s="353"/>
      <c r="O10" s="359"/>
      <c r="P10" s="359"/>
      <c r="Q10" s="356"/>
      <c r="R10" s="371"/>
      <c r="S10" s="359"/>
      <c r="T10" s="254">
        <v>45329</v>
      </c>
      <c r="U10" s="359"/>
      <c r="V10" s="249">
        <v>450</v>
      </c>
      <c r="W10" s="254">
        <v>45334</v>
      </c>
      <c r="X10" s="250"/>
      <c r="Y10" s="249"/>
      <c r="Z10" s="249"/>
      <c r="AA10" s="359"/>
      <c r="AB10" s="356"/>
      <c r="AC10" s="365"/>
      <c r="AD10" s="2">
        <v>1</v>
      </c>
    </row>
    <row r="11" spans="1:33" s="2" customFormat="1" x14ac:dyDescent="0.3">
      <c r="A11" s="350"/>
      <c r="B11" s="359"/>
      <c r="C11" s="359"/>
      <c r="D11" s="359"/>
      <c r="E11" s="359"/>
      <c r="F11" s="359"/>
      <c r="G11" s="356"/>
      <c r="H11" s="371"/>
      <c r="I11" s="356"/>
      <c r="J11" s="356"/>
      <c r="K11" s="359"/>
      <c r="L11" s="359"/>
      <c r="M11" s="359"/>
      <c r="N11" s="353"/>
      <c r="O11" s="359"/>
      <c r="P11" s="359"/>
      <c r="Q11" s="356"/>
      <c r="R11" s="371"/>
      <c r="S11" s="359"/>
      <c r="T11" s="254">
        <v>45317</v>
      </c>
      <c r="U11" s="359"/>
      <c r="V11" s="249">
        <v>27600</v>
      </c>
      <c r="W11" s="254">
        <v>45334</v>
      </c>
      <c r="X11" s="250"/>
      <c r="Y11" s="249"/>
      <c r="Z11" s="249"/>
      <c r="AA11" s="359"/>
      <c r="AB11" s="356"/>
      <c r="AC11" s="365"/>
      <c r="AD11" s="2">
        <v>1</v>
      </c>
    </row>
    <row r="12" spans="1:33" s="2" customFormat="1" x14ac:dyDescent="0.3">
      <c r="A12" s="350"/>
      <c r="B12" s="359"/>
      <c r="C12" s="359"/>
      <c r="D12" s="359"/>
      <c r="E12" s="359"/>
      <c r="F12" s="359"/>
      <c r="G12" s="356"/>
      <c r="H12" s="371"/>
      <c r="I12" s="356"/>
      <c r="J12" s="356"/>
      <c r="K12" s="359"/>
      <c r="L12" s="359"/>
      <c r="M12" s="359"/>
      <c r="N12" s="353"/>
      <c r="O12" s="359"/>
      <c r="P12" s="359"/>
      <c r="Q12" s="356"/>
      <c r="R12" s="371"/>
      <c r="S12" s="359"/>
      <c r="T12" s="254">
        <v>45324</v>
      </c>
      <c r="U12" s="359"/>
      <c r="V12" s="249">
        <v>68246.42</v>
      </c>
      <c r="W12" s="254">
        <v>45338</v>
      </c>
      <c r="X12" s="250"/>
      <c r="Y12" s="249"/>
      <c r="Z12" s="249"/>
      <c r="AA12" s="359"/>
      <c r="AB12" s="356"/>
      <c r="AC12" s="365"/>
      <c r="AD12" s="2">
        <v>1</v>
      </c>
    </row>
    <row r="13" spans="1:33" s="2" customFormat="1" x14ac:dyDescent="0.3">
      <c r="A13" s="350"/>
      <c r="B13" s="359"/>
      <c r="C13" s="359"/>
      <c r="D13" s="359"/>
      <c r="E13" s="359"/>
      <c r="F13" s="359"/>
      <c r="G13" s="356"/>
      <c r="H13" s="371"/>
      <c r="I13" s="356"/>
      <c r="J13" s="356"/>
      <c r="K13" s="359"/>
      <c r="L13" s="359"/>
      <c r="M13" s="359"/>
      <c r="N13" s="353"/>
      <c r="O13" s="359"/>
      <c r="P13" s="359"/>
      <c r="Q13" s="356"/>
      <c r="R13" s="371"/>
      <c r="S13" s="359"/>
      <c r="T13" s="254">
        <v>45324</v>
      </c>
      <c r="U13" s="359"/>
      <c r="V13" s="249">
        <v>4356.22</v>
      </c>
      <c r="W13" s="254">
        <v>45338</v>
      </c>
      <c r="X13" s="250"/>
      <c r="Y13" s="249"/>
      <c r="Z13" s="249"/>
      <c r="AA13" s="359"/>
      <c r="AB13" s="356"/>
      <c r="AC13" s="365"/>
      <c r="AD13" s="2">
        <v>1</v>
      </c>
    </row>
    <row r="14" spans="1:33" s="2" customFormat="1" x14ac:dyDescent="0.3">
      <c r="A14" s="350"/>
      <c r="B14" s="359"/>
      <c r="C14" s="359"/>
      <c r="D14" s="359"/>
      <c r="E14" s="359"/>
      <c r="F14" s="359"/>
      <c r="G14" s="356"/>
      <c r="H14" s="371"/>
      <c r="I14" s="356"/>
      <c r="J14" s="356"/>
      <c r="K14" s="359"/>
      <c r="L14" s="359"/>
      <c r="M14" s="359"/>
      <c r="N14" s="353"/>
      <c r="O14" s="359"/>
      <c r="P14" s="359"/>
      <c r="Q14" s="356"/>
      <c r="R14" s="371"/>
      <c r="S14" s="359"/>
      <c r="T14" s="254">
        <v>45329</v>
      </c>
      <c r="U14" s="359"/>
      <c r="V14" s="249">
        <v>1292.55</v>
      </c>
      <c r="W14" s="254">
        <v>45338</v>
      </c>
      <c r="X14" s="250"/>
      <c r="Y14" s="249"/>
      <c r="Z14" s="249"/>
      <c r="AA14" s="359"/>
      <c r="AB14" s="356"/>
      <c r="AC14" s="365"/>
      <c r="AD14" s="2">
        <v>1</v>
      </c>
    </row>
    <row r="15" spans="1:33" s="2" customFormat="1" x14ac:dyDescent="0.3">
      <c r="A15" s="350"/>
      <c r="B15" s="359"/>
      <c r="C15" s="359"/>
      <c r="D15" s="359"/>
      <c r="E15" s="359"/>
      <c r="F15" s="359"/>
      <c r="G15" s="356"/>
      <c r="H15" s="371"/>
      <c r="I15" s="356"/>
      <c r="J15" s="356"/>
      <c r="K15" s="359"/>
      <c r="L15" s="359"/>
      <c r="M15" s="359"/>
      <c r="N15" s="353"/>
      <c r="O15" s="359"/>
      <c r="P15" s="359"/>
      <c r="Q15" s="356"/>
      <c r="R15" s="371"/>
      <c r="S15" s="359"/>
      <c r="T15" s="254">
        <v>45329</v>
      </c>
      <c r="U15" s="359"/>
      <c r="V15" s="249">
        <v>82.5</v>
      </c>
      <c r="W15" s="254">
        <v>45338</v>
      </c>
      <c r="X15" s="250"/>
      <c r="Y15" s="249"/>
      <c r="Z15" s="249"/>
      <c r="AA15" s="359"/>
      <c r="AB15" s="356"/>
      <c r="AC15" s="365"/>
      <c r="AD15" s="2">
        <v>1</v>
      </c>
    </row>
    <row r="16" spans="1:33" s="2" customFormat="1" x14ac:dyDescent="0.3">
      <c r="A16" s="350"/>
      <c r="B16" s="359"/>
      <c r="C16" s="359"/>
      <c r="D16" s="359"/>
      <c r="E16" s="359"/>
      <c r="F16" s="359"/>
      <c r="G16" s="356"/>
      <c r="H16" s="371"/>
      <c r="I16" s="356"/>
      <c r="J16" s="356"/>
      <c r="K16" s="359"/>
      <c r="L16" s="359"/>
      <c r="M16" s="359"/>
      <c r="N16" s="353"/>
      <c r="O16" s="359"/>
      <c r="P16" s="359"/>
      <c r="Q16" s="356"/>
      <c r="R16" s="371"/>
      <c r="S16" s="359"/>
      <c r="T16" s="254">
        <v>45317</v>
      </c>
      <c r="U16" s="359"/>
      <c r="V16" s="249">
        <v>79276.14</v>
      </c>
      <c r="W16" s="254">
        <v>45338</v>
      </c>
      <c r="X16" s="250"/>
      <c r="Y16" s="249"/>
      <c r="Z16" s="249"/>
      <c r="AA16" s="359"/>
      <c r="AB16" s="356"/>
      <c r="AC16" s="365"/>
      <c r="AD16" s="2">
        <v>1</v>
      </c>
    </row>
    <row r="17" spans="1:30" s="2" customFormat="1" x14ac:dyDescent="0.3">
      <c r="A17" s="350"/>
      <c r="B17" s="359"/>
      <c r="C17" s="359"/>
      <c r="D17" s="359"/>
      <c r="E17" s="359"/>
      <c r="F17" s="359"/>
      <c r="G17" s="356"/>
      <c r="H17" s="371"/>
      <c r="I17" s="356"/>
      <c r="J17" s="356"/>
      <c r="K17" s="359"/>
      <c r="L17" s="359"/>
      <c r="M17" s="359"/>
      <c r="N17" s="353"/>
      <c r="O17" s="359"/>
      <c r="P17" s="359"/>
      <c r="Q17" s="356"/>
      <c r="R17" s="371"/>
      <c r="S17" s="359"/>
      <c r="T17" s="254">
        <v>45317</v>
      </c>
      <c r="U17" s="359"/>
      <c r="V17" s="249">
        <v>5060.26</v>
      </c>
      <c r="W17" s="254">
        <v>45338</v>
      </c>
      <c r="X17" s="250"/>
      <c r="Y17" s="249"/>
      <c r="Z17" s="249"/>
      <c r="AA17" s="359"/>
      <c r="AB17" s="356"/>
      <c r="AC17" s="365"/>
      <c r="AD17" s="2">
        <v>1</v>
      </c>
    </row>
    <row r="18" spans="1:30" s="2" customFormat="1" x14ac:dyDescent="0.3">
      <c r="A18" s="350"/>
      <c r="B18" s="359"/>
      <c r="C18" s="359"/>
      <c r="D18" s="359"/>
      <c r="E18" s="359"/>
      <c r="F18" s="359"/>
      <c r="G18" s="356"/>
      <c r="H18" s="371"/>
      <c r="I18" s="356"/>
      <c r="J18" s="356"/>
      <c r="K18" s="359"/>
      <c r="L18" s="359"/>
      <c r="M18" s="359"/>
      <c r="N18" s="353"/>
      <c r="O18" s="359"/>
      <c r="P18" s="359"/>
      <c r="Q18" s="356"/>
      <c r="R18" s="371"/>
      <c r="S18" s="359"/>
      <c r="T18" s="254">
        <v>45343</v>
      </c>
      <c r="U18" s="359"/>
      <c r="V18" s="249">
        <v>32730</v>
      </c>
      <c r="W18" s="254">
        <v>45348</v>
      </c>
      <c r="X18" s="250"/>
      <c r="Y18" s="249"/>
      <c r="Z18" s="249"/>
      <c r="AA18" s="359"/>
      <c r="AB18" s="356"/>
      <c r="AC18" s="365"/>
      <c r="AD18" s="2">
        <v>1</v>
      </c>
    </row>
    <row r="19" spans="1:30" s="2" customFormat="1" x14ac:dyDescent="0.3">
      <c r="A19" s="350"/>
      <c r="B19" s="359"/>
      <c r="C19" s="359"/>
      <c r="D19" s="359"/>
      <c r="E19" s="359"/>
      <c r="F19" s="359"/>
      <c r="G19" s="356"/>
      <c r="H19" s="371"/>
      <c r="I19" s="356"/>
      <c r="J19" s="356"/>
      <c r="K19" s="359"/>
      <c r="L19" s="359"/>
      <c r="M19" s="359"/>
      <c r="N19" s="353"/>
      <c r="O19" s="359"/>
      <c r="P19" s="359"/>
      <c r="Q19" s="356"/>
      <c r="R19" s="371"/>
      <c r="S19" s="359"/>
      <c r="T19" s="254">
        <v>45343</v>
      </c>
      <c r="U19" s="359"/>
      <c r="V19" s="249">
        <v>94011.16</v>
      </c>
      <c r="W19" s="254">
        <v>45348</v>
      </c>
      <c r="X19" s="250"/>
      <c r="Y19" s="249"/>
      <c r="Z19" s="249"/>
      <c r="AA19" s="359"/>
      <c r="AB19" s="356"/>
      <c r="AC19" s="365"/>
      <c r="AD19" s="2">
        <v>1</v>
      </c>
    </row>
    <row r="20" spans="1:30" s="2" customFormat="1" x14ac:dyDescent="0.3">
      <c r="A20" s="350"/>
      <c r="B20" s="359"/>
      <c r="C20" s="359"/>
      <c r="D20" s="359"/>
      <c r="E20" s="359"/>
      <c r="F20" s="359"/>
      <c r="G20" s="356"/>
      <c r="H20" s="371"/>
      <c r="I20" s="356"/>
      <c r="J20" s="356"/>
      <c r="K20" s="359"/>
      <c r="L20" s="359"/>
      <c r="M20" s="359"/>
      <c r="N20" s="353"/>
      <c r="O20" s="359"/>
      <c r="P20" s="359"/>
      <c r="Q20" s="356"/>
      <c r="R20" s="371"/>
      <c r="S20" s="359"/>
      <c r="T20" s="254">
        <v>45343</v>
      </c>
      <c r="U20" s="359"/>
      <c r="V20" s="249">
        <v>6000.81</v>
      </c>
      <c r="W20" s="254">
        <v>45348</v>
      </c>
      <c r="X20" s="250"/>
      <c r="Y20" s="249"/>
      <c r="Z20" s="249"/>
      <c r="AA20" s="359"/>
      <c r="AB20" s="356"/>
      <c r="AC20" s="365"/>
      <c r="AD20" s="2">
        <v>1</v>
      </c>
    </row>
    <row r="21" spans="1:30" s="2" customFormat="1" x14ac:dyDescent="0.3">
      <c r="A21" s="350"/>
      <c r="B21" s="359"/>
      <c r="C21" s="359"/>
      <c r="D21" s="359"/>
      <c r="E21" s="359"/>
      <c r="F21" s="359"/>
      <c r="G21" s="356"/>
      <c r="H21" s="371"/>
      <c r="I21" s="356"/>
      <c r="J21" s="356"/>
      <c r="K21" s="359"/>
      <c r="L21" s="359"/>
      <c r="M21" s="359"/>
      <c r="N21" s="353"/>
      <c r="O21" s="359"/>
      <c r="P21" s="359"/>
      <c r="Q21" s="356"/>
      <c r="R21" s="371"/>
      <c r="S21" s="359"/>
      <c r="T21" s="254">
        <v>45358</v>
      </c>
      <c r="U21" s="359"/>
      <c r="V21" s="249">
        <v>74967.66</v>
      </c>
      <c r="W21" s="254">
        <v>45371</v>
      </c>
      <c r="X21" s="250"/>
      <c r="Y21" s="249"/>
      <c r="Z21" s="249"/>
      <c r="AA21" s="359"/>
      <c r="AB21" s="356"/>
      <c r="AC21" s="365"/>
      <c r="AD21" s="2">
        <v>1</v>
      </c>
    </row>
    <row r="22" spans="1:30" s="2" customFormat="1" x14ac:dyDescent="0.3">
      <c r="A22" s="350"/>
      <c r="B22" s="359"/>
      <c r="C22" s="359"/>
      <c r="D22" s="359"/>
      <c r="E22" s="359"/>
      <c r="F22" s="359"/>
      <c r="G22" s="356"/>
      <c r="H22" s="371"/>
      <c r="I22" s="356"/>
      <c r="J22" s="356"/>
      <c r="K22" s="359"/>
      <c r="L22" s="359"/>
      <c r="M22" s="359"/>
      <c r="N22" s="353"/>
      <c r="O22" s="359"/>
      <c r="P22" s="359"/>
      <c r="Q22" s="356"/>
      <c r="R22" s="371"/>
      <c r="S22" s="359"/>
      <c r="T22" s="254">
        <v>45358</v>
      </c>
      <c r="U22" s="359"/>
      <c r="V22" s="249">
        <v>4785.24</v>
      </c>
      <c r="W22" s="254">
        <v>45371</v>
      </c>
      <c r="X22" s="250"/>
      <c r="Y22" s="249"/>
      <c r="Z22" s="249"/>
      <c r="AA22" s="359"/>
      <c r="AB22" s="356"/>
      <c r="AC22" s="365"/>
      <c r="AD22" s="2">
        <v>1</v>
      </c>
    </row>
    <row r="23" spans="1:30" s="2" customFormat="1" x14ac:dyDescent="0.3">
      <c r="A23" s="350"/>
      <c r="B23" s="359"/>
      <c r="C23" s="359"/>
      <c r="D23" s="359"/>
      <c r="E23" s="359"/>
      <c r="F23" s="359"/>
      <c r="G23" s="356"/>
      <c r="H23" s="371"/>
      <c r="I23" s="356"/>
      <c r="J23" s="356"/>
      <c r="K23" s="359"/>
      <c r="L23" s="359"/>
      <c r="M23" s="359"/>
      <c r="N23" s="353"/>
      <c r="O23" s="359"/>
      <c r="P23" s="359"/>
      <c r="Q23" s="356"/>
      <c r="R23" s="371"/>
      <c r="S23" s="359"/>
      <c r="T23" s="254">
        <v>45358</v>
      </c>
      <c r="U23" s="359"/>
      <c r="V23" s="249">
        <v>26100</v>
      </c>
      <c r="W23" s="254">
        <v>45371</v>
      </c>
      <c r="X23" s="250"/>
      <c r="Y23" s="249"/>
      <c r="Z23" s="249"/>
      <c r="AA23" s="359"/>
      <c r="AB23" s="356"/>
      <c r="AC23" s="365"/>
      <c r="AD23" s="2">
        <v>1</v>
      </c>
    </row>
    <row r="24" spans="1:30" s="2" customFormat="1" x14ac:dyDescent="0.3">
      <c r="A24" s="350"/>
      <c r="B24" s="359"/>
      <c r="C24" s="359"/>
      <c r="D24" s="359"/>
      <c r="E24" s="359"/>
      <c r="F24" s="359"/>
      <c r="G24" s="356"/>
      <c r="H24" s="371"/>
      <c r="I24" s="356"/>
      <c r="J24" s="356"/>
      <c r="K24" s="359"/>
      <c r="L24" s="359"/>
      <c r="M24" s="359"/>
      <c r="N24" s="353"/>
      <c r="O24" s="359"/>
      <c r="P24" s="359"/>
      <c r="Q24" s="356"/>
      <c r="R24" s="371"/>
      <c r="S24" s="359"/>
      <c r="T24" s="254">
        <v>45371</v>
      </c>
      <c r="U24" s="359"/>
      <c r="V24" s="249">
        <v>96251.58</v>
      </c>
      <c r="W24" s="254">
        <v>45379</v>
      </c>
      <c r="X24" s="250"/>
      <c r="Y24" s="249"/>
      <c r="Z24" s="249"/>
      <c r="AA24" s="359"/>
      <c r="AB24" s="356"/>
      <c r="AC24" s="365"/>
      <c r="AD24" s="2">
        <v>1</v>
      </c>
    </row>
    <row r="25" spans="1:30" s="2" customFormat="1" x14ac:dyDescent="0.3">
      <c r="A25" s="350"/>
      <c r="B25" s="359"/>
      <c r="C25" s="359"/>
      <c r="D25" s="359"/>
      <c r="E25" s="359"/>
      <c r="F25" s="359"/>
      <c r="G25" s="356"/>
      <c r="H25" s="371"/>
      <c r="I25" s="356"/>
      <c r="J25" s="356"/>
      <c r="K25" s="359"/>
      <c r="L25" s="359"/>
      <c r="M25" s="359"/>
      <c r="N25" s="353"/>
      <c r="O25" s="359"/>
      <c r="P25" s="359"/>
      <c r="Q25" s="356"/>
      <c r="R25" s="371"/>
      <c r="S25" s="359"/>
      <c r="T25" s="254">
        <v>45371</v>
      </c>
      <c r="U25" s="359"/>
      <c r="V25" s="249">
        <v>6143.81</v>
      </c>
      <c r="W25" s="254">
        <v>45379</v>
      </c>
      <c r="X25" s="250"/>
      <c r="Y25" s="249"/>
      <c r="Z25" s="249"/>
      <c r="AA25" s="359"/>
      <c r="AB25" s="356"/>
      <c r="AC25" s="365"/>
      <c r="AD25" s="2">
        <v>1</v>
      </c>
    </row>
    <row r="26" spans="1:30" s="2" customFormat="1" x14ac:dyDescent="0.3">
      <c r="A26" s="350"/>
      <c r="B26" s="359"/>
      <c r="C26" s="359"/>
      <c r="D26" s="359"/>
      <c r="E26" s="359"/>
      <c r="F26" s="359"/>
      <c r="G26" s="356"/>
      <c r="H26" s="371"/>
      <c r="I26" s="356"/>
      <c r="J26" s="356"/>
      <c r="K26" s="359"/>
      <c r="L26" s="359"/>
      <c r="M26" s="359"/>
      <c r="N26" s="353"/>
      <c r="O26" s="359"/>
      <c r="P26" s="359"/>
      <c r="Q26" s="356"/>
      <c r="R26" s="371"/>
      <c r="S26" s="359"/>
      <c r="T26" s="254">
        <v>45371</v>
      </c>
      <c r="U26" s="359"/>
      <c r="V26" s="249">
        <v>33510</v>
      </c>
      <c r="W26" s="254">
        <v>45379</v>
      </c>
      <c r="X26" s="250"/>
      <c r="Y26" s="249"/>
      <c r="Z26" s="249"/>
      <c r="AA26" s="359"/>
      <c r="AB26" s="356"/>
      <c r="AC26" s="365"/>
      <c r="AD26" s="2">
        <v>1</v>
      </c>
    </row>
    <row r="27" spans="1:30" s="2" customFormat="1" x14ac:dyDescent="0.3">
      <c r="A27" s="350"/>
      <c r="B27" s="359"/>
      <c r="C27" s="359"/>
      <c r="D27" s="359"/>
      <c r="E27" s="359"/>
      <c r="F27" s="359"/>
      <c r="G27" s="356"/>
      <c r="H27" s="371"/>
      <c r="I27" s="356"/>
      <c r="J27" s="356"/>
      <c r="K27" s="359"/>
      <c r="L27" s="359"/>
      <c r="M27" s="359"/>
      <c r="N27" s="353"/>
      <c r="O27" s="359"/>
      <c r="P27" s="359"/>
      <c r="Q27" s="356"/>
      <c r="R27" s="371"/>
      <c r="S27" s="359"/>
      <c r="T27" s="254">
        <v>45379</v>
      </c>
      <c r="U27" s="359"/>
      <c r="V27" s="249">
        <v>17430</v>
      </c>
      <c r="W27" s="254">
        <v>45387</v>
      </c>
      <c r="X27" s="250"/>
      <c r="Y27" s="249"/>
      <c r="Z27" s="249"/>
      <c r="AA27" s="359"/>
      <c r="AB27" s="356"/>
      <c r="AC27" s="365"/>
      <c r="AD27" s="2">
        <v>1</v>
      </c>
    </row>
    <row r="28" spans="1:30" s="2" customFormat="1" x14ac:dyDescent="0.3">
      <c r="A28" s="350"/>
      <c r="B28" s="359"/>
      <c r="C28" s="359"/>
      <c r="D28" s="359"/>
      <c r="E28" s="359"/>
      <c r="F28" s="359"/>
      <c r="G28" s="356"/>
      <c r="H28" s="371"/>
      <c r="I28" s="356"/>
      <c r="J28" s="356"/>
      <c r="K28" s="359"/>
      <c r="L28" s="359"/>
      <c r="M28" s="359"/>
      <c r="N28" s="353"/>
      <c r="O28" s="359"/>
      <c r="P28" s="359"/>
      <c r="Q28" s="356"/>
      <c r="R28" s="371"/>
      <c r="S28" s="359"/>
      <c r="T28" s="254">
        <v>45379</v>
      </c>
      <c r="U28" s="359"/>
      <c r="V28" s="249">
        <v>50064.61</v>
      </c>
      <c r="W28" s="254">
        <v>45387</v>
      </c>
      <c r="X28" s="250"/>
      <c r="Y28" s="249"/>
      <c r="Z28" s="249"/>
      <c r="AA28" s="359"/>
      <c r="AB28" s="356"/>
      <c r="AC28" s="365"/>
      <c r="AD28" s="2">
        <v>1</v>
      </c>
    </row>
    <row r="29" spans="1:30" s="2" customFormat="1" x14ac:dyDescent="0.3">
      <c r="A29" s="350"/>
      <c r="B29" s="359"/>
      <c r="C29" s="359"/>
      <c r="D29" s="359"/>
      <c r="E29" s="359"/>
      <c r="F29" s="359"/>
      <c r="G29" s="356"/>
      <c r="H29" s="371"/>
      <c r="I29" s="356"/>
      <c r="J29" s="356"/>
      <c r="K29" s="359"/>
      <c r="L29" s="359"/>
      <c r="M29" s="359"/>
      <c r="N29" s="353"/>
      <c r="O29" s="359"/>
      <c r="P29" s="359"/>
      <c r="Q29" s="356"/>
      <c r="R29" s="371"/>
      <c r="S29" s="359"/>
      <c r="T29" s="254">
        <v>45379</v>
      </c>
      <c r="U29" s="359"/>
      <c r="V29" s="249">
        <v>3195.66</v>
      </c>
      <c r="W29" s="254">
        <v>45387</v>
      </c>
      <c r="X29" s="250"/>
      <c r="Y29" s="249"/>
      <c r="Z29" s="249"/>
      <c r="AA29" s="359"/>
      <c r="AB29" s="356"/>
      <c r="AC29" s="365"/>
      <c r="AD29" s="2">
        <v>1</v>
      </c>
    </row>
    <row r="30" spans="1:30" s="2" customFormat="1" x14ac:dyDescent="0.3">
      <c r="A30" s="351"/>
      <c r="B30" s="360"/>
      <c r="C30" s="360"/>
      <c r="D30" s="360"/>
      <c r="E30" s="360"/>
      <c r="F30" s="360"/>
      <c r="G30" s="357"/>
      <c r="H30" s="372"/>
      <c r="I30" s="357"/>
      <c r="J30" s="357"/>
      <c r="K30" s="360"/>
      <c r="L30" s="360"/>
      <c r="M30" s="360"/>
      <c r="N30" s="354"/>
      <c r="O30" s="360"/>
      <c r="P30" s="360"/>
      <c r="Q30" s="357"/>
      <c r="R30" s="372"/>
      <c r="S30" s="360"/>
      <c r="T30" s="255"/>
      <c r="U30" s="360"/>
      <c r="V30" s="251"/>
      <c r="W30" s="255"/>
      <c r="X30" s="252"/>
      <c r="Y30" s="251"/>
      <c r="Z30" s="251"/>
      <c r="AA30" s="360"/>
      <c r="AB30" s="357"/>
      <c r="AC30" s="366"/>
      <c r="AD30" s="2">
        <v>1</v>
      </c>
    </row>
    <row r="31" spans="1:30" x14ac:dyDescent="0.3">
      <c r="A31" s="14"/>
      <c r="B31" s="14"/>
      <c r="C31" s="14"/>
      <c r="D31" s="14"/>
      <c r="E31" s="14"/>
      <c r="F31" s="14"/>
      <c r="G31" s="15"/>
      <c r="H31" s="16"/>
      <c r="I31" s="105"/>
      <c r="J31" s="105"/>
      <c r="K31" s="14"/>
      <c r="L31" s="14"/>
      <c r="M31" s="14"/>
      <c r="N31" s="29"/>
      <c r="O31" s="14"/>
      <c r="P31" s="14"/>
      <c r="Q31" s="15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8">
        <v>2</v>
      </c>
    </row>
  </sheetData>
  <sheetProtection algorithmName="SHA-512" hashValue="elGxQO2es+etOXgsdQPiCERTvepuwyH596RU3GdGByi//wCYTnbaQa8/oYV95CACyVWFBsaW7CS9ubEGEv2lzA==" saltValue="45cvnhekAQfRDrbPkg210g==" spinCount="100000" sheet="1" objects="1" scenarios="1" formatCells="0" formatColumns="0" formatRows="0"/>
  <mergeCells count="27">
    <mergeCell ref="E2:F2"/>
    <mergeCell ref="O2:P2"/>
    <mergeCell ref="Y2:AA2"/>
    <mergeCell ref="T2:U2"/>
    <mergeCell ref="A9:A30"/>
    <mergeCell ref="U9:U30"/>
    <mergeCell ref="AA9:AA30"/>
    <mergeCell ref="B9:B30"/>
    <mergeCell ref="AB9:AB30"/>
    <mergeCell ref="C9:C30"/>
    <mergeCell ref="S9:S30"/>
    <mergeCell ref="AC9:AC30"/>
    <mergeCell ref="D9:D30"/>
    <mergeCell ref="E9:E30"/>
    <mergeCell ref="F9:F30"/>
    <mergeCell ref="G9:G30"/>
    <mergeCell ref="H9:H30"/>
    <mergeCell ref="I9:I30"/>
    <mergeCell ref="J9:J30"/>
    <mergeCell ref="K9:K30"/>
    <mergeCell ref="L9:L30"/>
    <mergeCell ref="M9:M30"/>
    <mergeCell ref="N9:N30"/>
    <mergeCell ref="O9:O30"/>
    <mergeCell ref="P9:P30"/>
    <mergeCell ref="Q9:Q30"/>
    <mergeCell ref="R9:R3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17"/>
  <sheetViews>
    <sheetView showGridLines="0" zoomScale="50" zoomScaleNormal="50" workbookViewId="0">
      <pane ySplit="8" topLeftCell="A30" activePane="bottomLeft" state="frozen"/>
      <selection pane="bottomLeft" activeCell="C9" sqref="C9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429" t="s">
        <v>139</v>
      </c>
      <c r="F2" s="430"/>
      <c r="G2" s="100">
        <f>SUM(G9:G9999)</f>
        <v>0</v>
      </c>
      <c r="H2" s="15"/>
      <c r="O2" s="429" t="s">
        <v>24</v>
      </c>
      <c r="P2" s="430"/>
      <c r="Q2" s="98">
        <f>SUM(Q9:Q9999)</f>
        <v>0</v>
      </c>
      <c r="T2" s="333" t="s">
        <v>137</v>
      </c>
      <c r="U2" s="335"/>
      <c r="V2" s="87">
        <f>SUM(V9:V9999)</f>
        <v>0</v>
      </c>
      <c r="X2" s="86"/>
      <c r="Y2" s="333" t="s">
        <v>45</v>
      </c>
      <c r="Z2" s="334"/>
      <c r="AA2" s="335"/>
      <c r="AB2" s="88">
        <f>SUM(AB9:AB9999)</f>
        <v>0</v>
      </c>
    </row>
    <row r="4" spans="1:33" ht="39.9" customHeight="1" x14ac:dyDescent="0.3">
      <c r="P4" s="466"/>
      <c r="Q4" s="466"/>
      <c r="R4" s="466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hidden="1" x14ac:dyDescent="0.3">
      <c r="M9" s="3"/>
      <c r="AD9" s="8">
        <v>2</v>
      </c>
    </row>
    <row r="10" spans="1:33" hidden="1" x14ac:dyDescent="0.3">
      <c r="M10" s="3"/>
    </row>
    <row r="11" spans="1:33" hidden="1" x14ac:dyDescent="0.3">
      <c r="M11" s="3"/>
    </row>
    <row r="12" spans="1:33" hidden="1" x14ac:dyDescent="0.3">
      <c r="M12" s="3"/>
    </row>
    <row r="13" spans="1:33" hidden="1" x14ac:dyDescent="0.3">
      <c r="M13" s="3"/>
    </row>
    <row r="14" spans="1:33" hidden="1" x14ac:dyDescent="0.3">
      <c r="M14" s="3"/>
    </row>
    <row r="15" spans="1:33" hidden="1" x14ac:dyDescent="0.3">
      <c r="M15" s="3"/>
    </row>
    <row r="16" spans="1:33" hidden="1" x14ac:dyDescent="0.3">
      <c r="M16" s="3"/>
    </row>
    <row r="17" spans="13:13" hidden="1" x14ac:dyDescent="0.3">
      <c r="M17" s="3"/>
    </row>
  </sheetData>
  <sheetProtection algorithmName="SHA-512" hashValue="KZPYh7XRdqKz37XuM+HzQOH40WGhRGgbc7J6NubxiPErMpdRlncgEAFN49q21l8Ixa6z4XKpyVw6UMGY2ZpdHw==" saltValue="lphNzxQPPsX2ZGK/OAj1DQ==" spinCount="100000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37</v>
      </c>
      <c r="B1" s="65">
        <v>23</v>
      </c>
      <c r="C1" s="65">
        <v>9</v>
      </c>
      <c r="D1" s="469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470"/>
      <c r="E2" s="48"/>
      <c r="F2" s="80">
        <v>48</v>
      </c>
      <c r="G2" s="84">
        <v>41</v>
      </c>
      <c r="H2" s="83">
        <v>2</v>
      </c>
      <c r="I2" s="82">
        <v>1</v>
      </c>
      <c r="J2" s="81">
        <v>1</v>
      </c>
      <c r="K2" s="85">
        <v>1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103</v>
      </c>
      <c r="B4" s="62">
        <v>24</v>
      </c>
      <c r="C4" s="62">
        <v>9</v>
      </c>
      <c r="D4" s="471" t="s">
        <v>102</v>
      </c>
      <c r="E4" s="48"/>
      <c r="F4" s="80">
        <v>49</v>
      </c>
      <c r="G4" s="84">
        <v>42</v>
      </c>
      <c r="H4" s="83">
        <v>3</v>
      </c>
      <c r="I4" s="82">
        <v>2</v>
      </c>
      <c r="J4" s="81">
        <v>2</v>
      </c>
      <c r="K4" s="85">
        <v>2</v>
      </c>
    </row>
    <row r="5" spans="1:11" x14ac:dyDescent="0.3">
      <c r="A5" s="61" t="s">
        <v>89</v>
      </c>
      <c r="B5" s="62" t="s">
        <v>88</v>
      </c>
      <c r="C5" s="62" t="s">
        <v>87</v>
      </c>
      <c r="D5" s="472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12</v>
      </c>
      <c r="B7" s="64">
        <v>2</v>
      </c>
      <c r="C7" s="64">
        <v>9</v>
      </c>
      <c r="D7" s="473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474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11</v>
      </c>
      <c r="B10" s="60">
        <v>1</v>
      </c>
      <c r="C10" s="60">
        <v>9</v>
      </c>
      <c r="D10" s="475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476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30</v>
      </c>
      <c r="B13" s="58">
        <v>1</v>
      </c>
      <c r="C13" s="58">
        <v>9</v>
      </c>
      <c r="D13" s="477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478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8</v>
      </c>
      <c r="B16" s="56">
        <v>0</v>
      </c>
      <c r="C16" s="56">
        <v>9</v>
      </c>
      <c r="D16" s="467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468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Владелец</cp:lastModifiedBy>
  <cp:lastPrinted>2019-09-24T06:31:40Z</cp:lastPrinted>
  <dcterms:created xsi:type="dcterms:W3CDTF">2017-01-25T04:28:39Z</dcterms:created>
  <dcterms:modified xsi:type="dcterms:W3CDTF">2024-05-07T10:42:41Z</dcterms:modified>
</cp:coreProperties>
</file>