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I150" i="31" l="1"/>
  <c r="I142" i="31"/>
  <c r="I140" i="31"/>
  <c r="H2" i="31"/>
  <c r="P2" i="31"/>
  <c r="V2" i="31"/>
  <c r="H2" i="27"/>
  <c r="P2" i="27"/>
  <c r="V2" i="27"/>
  <c r="H18" i="20"/>
  <c r="R18" i="20"/>
  <c r="G2" i="20"/>
  <c r="Q2" i="20"/>
  <c r="V2" i="20"/>
  <c r="AB2" i="20"/>
  <c r="G2" i="22"/>
  <c r="Q2" i="22"/>
  <c r="V2" i="22"/>
  <c r="AB2" i="22"/>
  <c r="G2" i="17"/>
  <c r="Q2" i="17"/>
  <c r="V2" i="17"/>
  <c r="AB2" i="17"/>
  <c r="I114" i="27"/>
  <c r="I56" i="27"/>
  <c r="I92" i="27"/>
  <c r="I124" i="27"/>
  <c r="G2" i="19"/>
  <c r="N2" i="19"/>
  <c r="T2" i="19"/>
  <c r="H9" i="20"/>
  <c r="R9" i="20"/>
  <c r="H9" i="17"/>
  <c r="R9" i="17"/>
  <c r="I38" i="27"/>
  <c r="I29" i="27"/>
  <c r="I20" i="27"/>
  <c r="I52" i="27"/>
  <c r="I127" i="27"/>
  <c r="I43" i="31"/>
  <c r="I21" i="31"/>
  <c r="I43" i="27"/>
  <c r="I9" i="27"/>
  <c r="I153" i="31" l="1"/>
  <c r="I152" i="31"/>
  <c r="I149" i="31"/>
  <c r="I140" i="27"/>
  <c r="I148" i="31"/>
  <c r="I139" i="27"/>
  <c r="I138" i="27"/>
  <c r="I137" i="27"/>
  <c r="I136" i="27"/>
  <c r="I135" i="27"/>
  <c r="I147" i="31"/>
  <c r="I134" i="27"/>
  <c r="I133" i="27" l="1"/>
  <c r="I132" i="27"/>
  <c r="I131" i="27"/>
  <c r="I12" i="31"/>
  <c r="I130" i="27"/>
  <c r="I129" i="27" l="1"/>
  <c r="I126" i="27"/>
  <c r="I123" i="27"/>
  <c r="I122" i="27"/>
  <c r="I121" i="27"/>
  <c r="H16" i="19"/>
  <c r="I110" i="27" l="1"/>
  <c r="I125" i="31"/>
  <c r="I120" i="27" l="1"/>
  <c r="I119" i="27"/>
  <c r="I118" i="27"/>
  <c r="I139" i="31"/>
  <c r="I117" i="27" l="1"/>
  <c r="I113" i="27" l="1"/>
  <c r="I136" i="31"/>
  <c r="I106" i="27"/>
  <c r="I68" i="31"/>
  <c r="I130" i="31"/>
  <c r="I132" i="31"/>
  <c r="H9" i="22"/>
  <c r="R9" i="22"/>
  <c r="H19" i="19" l="1"/>
  <c r="I138" i="31"/>
  <c r="I112" i="27"/>
  <c r="I109" i="27"/>
  <c r="I108" i="27" l="1"/>
  <c r="I105" i="27"/>
  <c r="I135" i="31"/>
  <c r="I134" i="31"/>
  <c r="I104" i="27" l="1"/>
  <c r="I103" i="27"/>
  <c r="I129" i="31"/>
  <c r="I89" i="31"/>
  <c r="I12" i="27"/>
  <c r="I119" i="31" l="1"/>
  <c r="I9" i="31"/>
  <c r="I102" i="31"/>
  <c r="I85" i="31"/>
  <c r="I82" i="31"/>
  <c r="I114" i="31"/>
  <c r="H9" i="19"/>
  <c r="I88" i="27"/>
  <c r="I78" i="31"/>
  <c r="I128" i="31" l="1"/>
  <c r="I102" i="27"/>
  <c r="I101" i="27"/>
  <c r="I100" i="27"/>
  <c r="I124" i="31"/>
  <c r="I123" i="31"/>
  <c r="I122" i="31"/>
  <c r="I99" i="27"/>
  <c r="I98" i="27"/>
  <c r="I121" i="31"/>
  <c r="I97" i="27"/>
  <c r="I96" i="27"/>
  <c r="I118" i="31" l="1"/>
  <c r="I117" i="31"/>
  <c r="I90" i="27"/>
  <c r="I87" i="27"/>
  <c r="I111" i="31"/>
  <c r="I108" i="31"/>
  <c r="I86" i="27"/>
  <c r="I101" i="31" l="1"/>
  <c r="I85" i="27"/>
  <c r="I84" i="27"/>
  <c r="I83" i="27"/>
  <c r="I55" i="27"/>
  <c r="I67" i="31"/>
  <c r="I62" i="31"/>
  <c r="I52" i="31"/>
  <c r="I16" i="27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<sst xmlns="http://schemas.openxmlformats.org/spreadsheetml/2006/main" count="1305" uniqueCount="411">
  <si>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</si>
  <si>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</si>
  <si>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</si>
  <si>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</si>
  <si>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</si>
  <si>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</si>
  <si>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</si>
  <si>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</si>
  <si>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</si>
  <si>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</si>
  <si>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</si>
  <si>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</si>
  <si>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</si>
  <si>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</si>
  <si>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</si>
  <si>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</si>
  <si>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</si>
  <si>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</si>
  <si>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</si>
  <si>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</si>
  <si>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</si>
  <si>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</si>
  <si>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</si>
  <si>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</si>
  <si>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</si>
  <si>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</si>
  <si>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</si>
  <si>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</si>
  <si>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</si>
  <si>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</si>
  <si>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</si>
  <si>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</si>
  <si>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</si>
  <si>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</si>
  <si>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</si>
  <si>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</si>
  <si>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</si>
  <si>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</si>
  <si>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</si>
  <si>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</si>
  <si>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</si>
  <si>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</si>
  <si>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</si>
  <si>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</si>
  <si>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</si>
  <si>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</si>
  <si>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</si>
  <si>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</si>
  <si>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</si>
  <si>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</si>
  <si>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</si>
  <si>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</si>
  <si>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</si>
  <si>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</si>
  <si>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</si>
  <si>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</si>
  <si>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</si>
  <si>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</si>
  <si>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</si>
  <si>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</si>
  <si>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</si>
  <si>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</si>
  <si>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</si>
  <si>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</si>
  <si>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</si>
  <si>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</si>
  <si>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</si>
  <si>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</si>
  <si>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</si>
  <si>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</si>
  <si>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</si>
  <si>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</si>
  <si>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</si>
  <si>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</si>
  <si>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</si>
  <si>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</si>
  <si>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</si>
  <si>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</si>
  <si>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</si>
  <si>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</si>
  <si>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</si>
  <si>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</si>
  <si>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</si>
  <si>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</si>
  <si>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</si>
  <si>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</si>
  <si>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</si>
  <si>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</si>
  <si>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</si>
  <si>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</si>
  <si>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</si>
  <si>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</si>
  <si>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</si>
  <si>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</si>
  <si>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</si>
  <si>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</si>
  <si>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</si>
  <si>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</si>
  <si>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</si>
  <si>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</si>
  <si>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</si>
  <si>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</si>
  <si>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</si>
  <si>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</si>
  <si>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</si>
  <si>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</si>
  <si>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</si>
  <si>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</si>
  <si>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</si>
  <si>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</si>
  <si>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</si>
  <si>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</si>
  <si>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</si>
  <si>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</si>
  <si>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</si>
  <si>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</si>
  <si>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</si>
  <si>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</si>
  <si>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</si>
  <si>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</si>
  <si>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</si>
  <si>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</si>
  <si>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</si>
  <si>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</si>
  <si>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</si>
  <si>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</si>
  <si>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</si>
  <si>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</si>
  <si>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</si>
  <si>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</si>
  <si>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</si>
  <si>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</si>
  <si>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</si>
  <si>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</si>
  <si>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</si>
  <si>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</si>
  <si>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</si>
  <si>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</si>
  <si>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</si>
  <si>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</si>
  <si>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</si>
  <si>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</si>
  <si>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</si>
  <si>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</si>
  <si>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</si>
  <si>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</si>
  <si>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</si>
  <si>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</si>
  <si>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охранных услуг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</si>
  <si>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</si>
  <si>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</si>
  <si>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</si>
  <si>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</si>
  <si>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</si>
  <si>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</si>
  <si>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</si>
  <si>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</si>
  <si>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</si>
  <si>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</si>
  <si>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Дератизационные работы</t>
  </si>
  <si>
    <t>2353018870</t>
  </si>
  <si>
    <t>ООО "Дезинфекция"</t>
  </si>
  <si>
    <t>по мере необходимости</t>
  </si>
  <si>
    <t>Работы по сервисному обслуживанию УУТЭ</t>
  </si>
  <si>
    <t>235301271520</t>
  </si>
  <si>
    <t>ИП Дудкин</t>
  </si>
  <si>
    <t>согласно приложения 1</t>
  </si>
  <si>
    <t>235305769122</t>
  </si>
  <si>
    <t>ИП Барма</t>
  </si>
  <si>
    <t>ПАО "Ростелеком"</t>
  </si>
  <si>
    <t>ООО "Альянс Розница"</t>
  </si>
  <si>
    <t>ООО "Сигнал"</t>
  </si>
  <si>
    <t>2353002302</t>
  </si>
  <si>
    <t>№ 39-С</t>
  </si>
  <si>
    <t>ТО установки системы пожарного мониторинга "Стрелец-мониторинг"</t>
  </si>
  <si>
    <t>согласно графика</t>
  </si>
  <si>
    <t>МБОУ СОШ №6</t>
  </si>
  <si>
    <t>ООО ЧОО "Легион"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</si>
  <si>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</si>
  <si>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</si>
  <si>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</si>
  <si>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</si>
  <si>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</si>
  <si>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В течение 1 квартала 2023 г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</si>
  <si>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</si>
  <si>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</si>
  <si>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</si>
  <si>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</si>
  <si>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</si>
  <si>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Оказание услуг по организации горячего питания обучающихся по образовательным программам начального общего образования в МБОУ СОШ № 6 (1-4 классы)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</si>
  <si>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</si>
  <si>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</si>
  <si>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</si>
  <si>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</si>
  <si>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</si>
  <si>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</si>
  <si>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Ремонт автобуса</t>
  </si>
  <si>
    <t>ИП Аполонов</t>
  </si>
  <si>
    <t>Оказание услуг по организации питания учащихся (6-10 р)</t>
  </si>
  <si>
    <t>925  0000 0000000000 244</t>
  </si>
  <si>
    <t>оказание услуг по организации питания инвалидов</t>
  </si>
  <si>
    <t>оказание услуг по организации питания детей с ОВЗ</t>
  </si>
  <si>
    <t>оказание услуг по организации горячегопитания детей с овз</t>
  </si>
  <si>
    <t>Оказание услуг связи</t>
  </si>
  <si>
    <t>7707049388</t>
  </si>
  <si>
    <t>166-Б2</t>
  </si>
  <si>
    <t>То автоматических установок пожарной сигнализации</t>
  </si>
  <si>
    <t>2369000660</t>
  </si>
  <si>
    <t>Техническое обслуживание ГЛОНАСС</t>
  </si>
  <si>
    <t>ДГ-23/82</t>
  </si>
  <si>
    <t>ремонт морозильной камеры</t>
  </si>
  <si>
    <t>235300206670</t>
  </si>
  <si>
    <t>ИП Логинов</t>
  </si>
  <si>
    <t>Оказание услуг предрейсового и послерейсового медицинского и технического контроля, стоянка транспортного контроля, ТО-1, ТО-2.</t>
  </si>
  <si>
    <t>50/23</t>
  </si>
  <si>
    <t>Образовательные услуги</t>
  </si>
  <si>
    <t>6140004535</t>
  </si>
  <si>
    <t>ООО "Учитель-инфо"</t>
  </si>
  <si>
    <t>Проведение оценки</t>
  </si>
  <si>
    <t>2335015365</t>
  </si>
  <si>
    <t>СОЮЗ "ТПП"</t>
  </si>
  <si>
    <t>ООО "ВторИнвестЮг"</t>
  </si>
  <si>
    <t>6162076156</t>
  </si>
  <si>
    <t>Оценка техсостояния работоспособности техники</t>
  </si>
  <si>
    <t>поставка товара</t>
  </si>
  <si>
    <t>ИП Латышев</t>
  </si>
  <si>
    <t>223235301409723530100100130018010244</t>
  </si>
  <si>
    <t>0818300019922000336001</t>
  </si>
  <si>
    <t>0818300019922000336</t>
  </si>
  <si>
    <t>22.85</t>
  </si>
  <si>
    <t>13/23</t>
  </si>
  <si>
    <t>обучение</t>
  </si>
  <si>
    <t>2327014502</t>
  </si>
  <si>
    <t>ООО "БОЦ"</t>
  </si>
  <si>
    <t>оказание услуг по организации питания обучающихся 1-4 классы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</si>
  <si>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</si>
  <si>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1-4 классы услуга по приготовлению</t>
  </si>
  <si>
    <t>оказание услуг по организации питания детей мобилизованных</t>
  </si>
  <si>
    <t>утилизация</t>
  </si>
  <si>
    <t>1/2023/19</t>
  </si>
  <si>
    <t>экскурсия</t>
  </si>
  <si>
    <t>2310052884</t>
  </si>
  <si>
    <t>ГБУК КК "КГИАМЗ им. Е.Д. Фелицына"</t>
  </si>
  <si>
    <t>30 % предоплата, окончательный расчет в течение 5 рабочих дней</t>
  </si>
  <si>
    <t>Панель светодиодная, лампочки</t>
  </si>
  <si>
    <t>235307112879</t>
  </si>
  <si>
    <t>ИП Деревянко</t>
  </si>
  <si>
    <t>37</t>
  </si>
  <si>
    <t>Хозтовары</t>
  </si>
  <si>
    <t>Дез средства</t>
  </si>
  <si>
    <t>233235301409723530100100100018020244</t>
  </si>
  <si>
    <t>0818300019923000058</t>
  </si>
  <si>
    <t xml:space="preserve">Оказание услуг по техническому обслуживанию объектовой станции системы пожарного мониторинга ПАК "Стрелец-мониторинг" 
</t>
  </si>
  <si>
    <t>0818300019923000058001</t>
  </si>
  <si>
    <t>Не позднее 7 рабочих дней с момента подписания Заказчиком документа о приемке выполненных работ и представленного Подрядчиком документа на оплату</t>
  </si>
  <si>
    <t>КС1/388-23</t>
  </si>
  <si>
    <t>научно-технические услуги</t>
  </si>
  <si>
    <t>2312038420</t>
  </si>
  <si>
    <t>ФГБОУ ВО "КубГУ"</t>
  </si>
  <si>
    <t>ИП Черниговский</t>
  </si>
  <si>
    <t>235300600997</t>
  </si>
  <si>
    <t>73-ЭО</t>
  </si>
  <si>
    <t>услуги по экологии</t>
  </si>
  <si>
    <t>235306110100</t>
  </si>
  <si>
    <t>ИП Казерова</t>
  </si>
  <si>
    <t>питание</t>
  </si>
  <si>
    <t>К056931/23</t>
  </si>
  <si>
    <t>обслуживание системы Контур экстерн</t>
  </si>
  <si>
    <t>6663003127</t>
  </si>
  <si>
    <t>АО "Производственная фирма "СКБ Контур"</t>
  </si>
  <si>
    <t>ООО "АйТи Мониторинг"</t>
  </si>
  <si>
    <t>2311187588</t>
  </si>
  <si>
    <t>обслуживание в удостоверяющем центре</t>
  </si>
  <si>
    <t>АТ00-004491</t>
  </si>
  <si>
    <t>51</t>
  </si>
  <si>
    <t>А0047506</t>
  </si>
  <si>
    <t>поставка учебников</t>
  </si>
  <si>
    <t>АО "Издательство "Просвещение"</t>
  </si>
  <si>
    <t>233235301409723530100100110015629244</t>
  </si>
  <si>
    <t>0818300019923000067</t>
  </si>
  <si>
    <t>Оказание услуг по организации питания</t>
  </si>
  <si>
    <t>2353020735</t>
  </si>
  <si>
    <t>ООО "Тимашевское ПРТ райпо"</t>
  </si>
  <si>
    <t>В течение 10 рабочих дней после подписания акта приема-передачи</t>
  </si>
  <si>
    <t>23-10541</t>
  </si>
  <si>
    <t>ООО "СпецБланк-Москва"</t>
  </si>
  <si>
    <t>7706526550</t>
  </si>
  <si>
    <t>аттестаты</t>
  </si>
  <si>
    <t>ИП Тарануха</t>
  </si>
  <si>
    <t>233003348389</t>
  </si>
  <si>
    <t>118-ТО</t>
  </si>
  <si>
    <t>техосмотр</t>
  </si>
  <si>
    <t>2023.095793</t>
  </si>
  <si>
    <t>бензин</t>
  </si>
  <si>
    <t>ООО "Процессинговая компания"</t>
  </si>
  <si>
    <t>УПД</t>
  </si>
  <si>
    <t>2310132554</t>
  </si>
  <si>
    <t>ООО "Краснодарский учколлектор"</t>
  </si>
  <si>
    <t>63</t>
  </si>
  <si>
    <t>товар</t>
  </si>
  <si>
    <t>в течение 7 рабочих дней</t>
  </si>
  <si>
    <t>66</t>
  </si>
  <si>
    <t>учебно-наглядное пособие</t>
  </si>
  <si>
    <t>2350009645</t>
  </si>
  <si>
    <t>ООО "Художественный салон "Сокол"</t>
  </si>
  <si>
    <t>питание сво</t>
  </si>
  <si>
    <t>услуга сво</t>
  </si>
  <si>
    <t>4348/212</t>
  </si>
  <si>
    <t>подписка</t>
  </si>
  <si>
    <t>7724490000</t>
  </si>
  <si>
    <t>АО "Почта России"</t>
  </si>
  <si>
    <t>В течение 10 рабочих дней предоплата</t>
  </si>
  <si>
    <t>70-77</t>
  </si>
  <si>
    <t>233907290277</t>
  </si>
  <si>
    <t>ИП Орехова</t>
  </si>
  <si>
    <t>6-23-2</t>
  </si>
  <si>
    <t>дезинсекция</t>
  </si>
  <si>
    <t>138</t>
  </si>
  <si>
    <t>хозтовары</t>
  </si>
  <si>
    <t>ИП Латышева</t>
  </si>
  <si>
    <t>30-05/2023-1</t>
  </si>
  <si>
    <t>ремонт автобуса</t>
  </si>
  <si>
    <t>235303782209</t>
  </si>
  <si>
    <t>ИП Пастухов</t>
  </si>
  <si>
    <t>01-06/2023-1</t>
  </si>
  <si>
    <t>100/23</t>
  </si>
  <si>
    <t>медосмотр</t>
  </si>
  <si>
    <t>2353006498</t>
  </si>
  <si>
    <t>ГБУЗ "Тимашевская ЦРБ"</t>
  </si>
  <si>
    <t>136</t>
  </si>
  <si>
    <t>краска</t>
  </si>
  <si>
    <t>06-06/2023-1</t>
  </si>
  <si>
    <t>925 0000 00000000000 244</t>
  </si>
  <si>
    <t>Оказание услуг по организации питания в лагере с дневным пребыванием детей на базе МБОУ СОШ № 6</t>
  </si>
  <si>
    <t>ООО "Тимашевское прт райпо"</t>
  </si>
  <si>
    <t>бумага</t>
  </si>
  <si>
    <t>137</t>
  </si>
  <si>
    <t>панель светодиодная</t>
  </si>
  <si>
    <t>А0056399</t>
  </si>
  <si>
    <t>Поставка учебной литературы</t>
  </si>
  <si>
    <t>до 08.08.2023</t>
  </si>
  <si>
    <t>В течение 10 рабочих дней со дня подписания Заказчиком УПД</t>
  </si>
  <si>
    <t>02.062023</t>
  </si>
  <si>
    <t>карта водителя</t>
  </si>
  <si>
    <t>бн</t>
  </si>
  <si>
    <t>2023.233334</t>
  </si>
  <si>
    <t>бензин Аи-92</t>
  </si>
  <si>
    <t>ООО "КТК"</t>
  </si>
  <si>
    <t>173</t>
  </si>
  <si>
    <t>краска, линолеум</t>
  </si>
  <si>
    <t>038-ПН-23</t>
  </si>
  <si>
    <t>Услуги по испытанию и измерению электроустановок и электрооборудования</t>
  </si>
  <si>
    <t>235302001163</t>
  </si>
  <si>
    <t>ИП Ромчук</t>
  </si>
  <si>
    <t>посуда</t>
  </si>
  <si>
    <t>235002152355</t>
  </si>
  <si>
    <t>2369980106</t>
  </si>
  <si>
    <t>мебель</t>
  </si>
  <si>
    <t>42/т</t>
  </si>
  <si>
    <t>опрессовка</t>
  </si>
  <si>
    <t>2315160361</t>
  </si>
  <si>
    <t>ООО "Городской расчетный центр"</t>
  </si>
  <si>
    <t>блок скзи и активация тахографа</t>
  </si>
  <si>
    <t>А0075256</t>
  </si>
  <si>
    <t>учебники</t>
  </si>
  <si>
    <t>7715995942</t>
  </si>
  <si>
    <t>2353016418</t>
  </si>
  <si>
    <t>МРО Православный приход  храма Вознесения Господня</t>
  </si>
  <si>
    <t>1/2023/25</t>
  </si>
  <si>
    <t>29.38</t>
  </si>
  <si>
    <t>стенды</t>
  </si>
  <si>
    <t>235303800426</t>
  </si>
  <si>
    <t>ИП Шашанков</t>
  </si>
  <si>
    <t>23235301409723530100100150015629244</t>
  </si>
  <si>
    <t>0818300019923000268</t>
  </si>
  <si>
    <t>Оказание услуг по организации питания учащихся в МБОУ СОШ № 6</t>
  </si>
  <si>
    <t>3235301409723000005</t>
  </si>
  <si>
    <t>с 01.09.2023 по 30.11.2023</t>
  </si>
  <si>
    <t>муу</t>
  </si>
  <si>
    <t>автострахование</t>
  </si>
  <si>
    <t>7710026574</t>
  </si>
  <si>
    <t>САО "ВСК"</t>
  </si>
  <si>
    <t>23500600997</t>
  </si>
  <si>
    <t>оргтехника</t>
  </si>
  <si>
    <t>235300809163</t>
  </si>
  <si>
    <t>ип коваленко</t>
  </si>
  <si>
    <t>61</t>
  </si>
  <si>
    <t xml:space="preserve">оказание услуг по организации питания </t>
  </si>
  <si>
    <t>25-09/2023-1</t>
  </si>
  <si>
    <t>техобслуживание и ремонт автомобиля</t>
  </si>
  <si>
    <t>226-ТО</t>
  </si>
  <si>
    <t>то автобуса</t>
  </si>
  <si>
    <t>377-ПЭК</t>
  </si>
  <si>
    <t>Разработка программы производственного экологического контроля</t>
  </si>
  <si>
    <t>376-НМУ</t>
  </si>
  <si>
    <t>Разработка мероприятий по уменьшению выбросов</t>
  </si>
  <si>
    <t>Разработка Проекта нормативов предельно-допустимых выбросов</t>
  </si>
  <si>
    <t>375-ПДВ</t>
  </si>
  <si>
    <t>142/23</t>
  </si>
  <si>
    <t>142-1/23</t>
  </si>
  <si>
    <t>оказание охранных услуг</t>
  </si>
  <si>
    <t>5100/212</t>
  </si>
  <si>
    <t>186</t>
  </si>
  <si>
    <t>ИП Коваленко</t>
  </si>
  <si>
    <t>83</t>
  </si>
  <si>
    <t>82</t>
  </si>
  <si>
    <t>заправка и ремонт картриджей</t>
  </si>
  <si>
    <t>093-2023</t>
  </si>
  <si>
    <t>огнезащитная обработка кровли</t>
  </si>
  <si>
    <t>ООО "Огнезащита-Юг"</t>
  </si>
  <si>
    <t>11,10,2023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</si>
</sst>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8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0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>
      <alignment horizontal="center" vertical="center" wrapText="1"/>
    </xf>
    <xf numFmtId="168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0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0" fontId="1" fillId="0" borderId="80" xfId="0" applyFont="1" applyBorder="1" applyAlignment="1" applyProtection="1">
      <alignment horizontal="center" vertical="center"/>
      <protection locked="0"/>
    </xf>
    <xf numFmtId="0" fontId="1" fillId="0" borderId="81" xfId="0" applyFont="1" applyBorder="1" applyAlignment="1" applyProtection="1">
      <alignment horizontal="center" vertical="center"/>
      <protection locked="0"/>
    </xf>
    <xf numFmtId="0" fontId="1" fillId="0" borderId="82" xfId="0" applyFont="1" applyBorder="1" applyAlignment="1" applyProtection="1">
      <alignment horizontal="center" vertical="center"/>
      <protection locked="0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49" fontId="1" fillId="18" borderId="82" xfId="0" applyNumberFormat="1" applyFont="1" applyFill="1" applyBorder="1" applyAlignment="1">
      <alignment horizontal="center" vertical="center" wrapText="1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0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7" xfId="0" applyNumberFormat="1" applyFont="1" applyFill="1" applyBorder="1" applyAlignment="1">
      <alignment horizontal="center" vertical="center" wrapText="1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14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4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>
      <alignment horizontal="center" vertical="center" wrapText="1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0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>
      <alignment horizontal="center" vertical="center" wrapText="1"/>
    </xf>
    <xf numFmtId="4" fontId="1" fillId="18" borderId="70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70" xfId="0" applyNumberFormat="1" applyFont="1" applyFill="1" applyBorder="1" applyAlignment="1">
      <alignment horizontal="center" vertical="center" wrapText="1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>
      <alignment horizontal="center" vertical="center" wrapText="1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51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50" xfId="0" applyNumberFormat="1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>
      <alignment horizontal="center" vertical="center" wrapText="1"/>
    </xf>
    <xf numFmtId="1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>
      <alignment horizontal="center" vertical="center" wrapText="1"/>
    </xf>
    <xf numFmtId="4" fontId="1" fillId="18" borderId="87" xfId="0" applyNumberFormat="1" applyFont="1" applyFill="1" applyBorder="1" applyAlignment="1">
      <alignment horizontal="center" vertical="center" wrapText="1"/>
    </xf>
    <xf numFmtId="4" fontId="1" fillId="18" borderId="90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>
      <alignment horizontal="center" vertical="center" wrapText="1"/>
    </xf>
    <xf numFmtId="49" fontId="1" fillId="18" borderId="86" xfId="0" applyNumberFormat="1" applyFont="1" applyFill="1" applyBorder="1" applyAlignment="1">
      <alignment horizontal="center" vertical="center" wrapText="1"/>
    </xf>
    <xf numFmtId="49" fontId="1" fillId="18" borderId="89" xfId="0" applyNumberFormat="1" applyFont="1" applyFill="1" applyBorder="1" applyAlignment="1">
      <alignment horizontal="center" vertical="center" wrapText="1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3" xfId="0" applyNumberFormat="1" applyFont="1" applyFill="1" applyBorder="1" applyAlignment="1">
      <alignment horizontal="center" vertical="center" wrapText="1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5" xfId="0" applyFont="1" applyFill="1" applyBorder="1" applyAlignment="1" applyProtection="1">
      <alignment horizontal="center" vertical="center" wrapText="1"/>
      <protection locked="0"/>
    </xf>
    <xf numFmtId="0" fontId="1" fillId="18" borderId="88" xfId="0" applyFont="1" applyFill="1" applyBorder="1" applyAlignment="1" applyProtection="1">
      <alignment horizontal="center" vertical="center" wrapText="1"/>
      <protection locked="0"/>
    </xf>
    <xf numFmtId="0" fontId="1" fillId="18" borderId="91" xfId="0" applyFont="1" applyFill="1" applyBorder="1" applyAlignment="1" applyProtection="1">
      <alignment horizontal="center" vertical="center" wrapText="1"/>
      <protection locked="0"/>
    </xf>
    <xf numFmtId="0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19</xdr:col>
      <xdr:colOff>1579085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535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2</xdr:row>
      <xdr:rowOff>228600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3</xdr:row>
      <xdr:rowOff>509154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507423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2</xdr:row>
      <xdr:rowOff>228600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507422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4" zoomScale="70" zoomScaleNormal="70" workbookViewId="0">
      <selection activeCell="H4" sqref="H4:J4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381" t="s">
        <v>141</v>
      </c>
      <c r="B1" s="382"/>
      <c r="C1" s="382"/>
      <c r="D1" s="382"/>
      <c r="E1" s="381" t="s">
        <v>176</v>
      </c>
      <c r="F1" s="382"/>
      <c r="G1" s="382"/>
      <c r="H1" s="382"/>
      <c r="I1" s="382"/>
      <c r="J1" s="382"/>
      <c r="K1" s="382"/>
      <c r="L1" s="382"/>
      <c r="M1" s="382"/>
      <c r="N1" s="383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417" t="s">
        <v>25</v>
      </c>
      <c r="B4" s="418"/>
      <c r="C4" s="4">
        <v>9669559.7100000009</v>
      </c>
      <c r="D4" s="5"/>
      <c r="E4" s="419" t="s">
        <v>140</v>
      </c>
      <c r="F4" s="420"/>
      <c r="G4" s="421"/>
      <c r="H4" s="422">
        <v>2000000</v>
      </c>
      <c r="I4" s="423"/>
      <c r="J4" s="424"/>
      <c r="K4" s="22"/>
      <c r="L4" s="99" t="s">
        <v>55</v>
      </c>
      <c r="M4" s="419">
        <v>3497181.94</v>
      </c>
      <c r="N4" s="421"/>
    </row>
    <row r="5" spans="1:14" ht="30.75" customHeight="1" thickBot="1" x14ac:dyDescent="0.35">
      <c r="A5" s="417" t="s">
        <v>26</v>
      </c>
      <c r="B5" s="418"/>
      <c r="C5" s="6">
        <f>C4-G15+J15</f>
        <v>1065661.4300000023</v>
      </c>
      <c r="D5" s="5"/>
      <c r="E5" s="419" t="s">
        <v>53</v>
      </c>
      <c r="F5" s="420"/>
      <c r="G5" s="421"/>
      <c r="H5" s="412">
        <f>H4-G12</f>
        <v>441220.35000000009</v>
      </c>
      <c r="I5" s="413"/>
      <c r="J5" s="414"/>
      <c r="K5" s="22"/>
      <c r="L5" s="99" t="s">
        <v>54</v>
      </c>
      <c r="M5" s="415">
        <f>M4-G13</f>
        <v>258639.47999999998</v>
      </c>
      <c r="N5" s="416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25" t="s">
        <v>27</v>
      </c>
      <c r="B8" s="426"/>
      <c r="C8" s="427"/>
      <c r="D8" s="425" t="s">
        <v>28</v>
      </c>
      <c r="E8" s="426"/>
      <c r="F8" s="427"/>
      <c r="G8" s="428" t="s">
        <v>29</v>
      </c>
      <c r="H8" s="429"/>
      <c r="I8" s="430"/>
      <c r="J8" s="428" t="s">
        <v>142</v>
      </c>
      <c r="K8" s="429"/>
      <c r="L8" s="430"/>
      <c r="M8" s="425" t="s">
        <v>30</v>
      </c>
      <c r="N8" s="427"/>
    </row>
    <row r="9" spans="1:14" ht="41.25" customHeight="1" thickBot="1" x14ac:dyDescent="0.35">
      <c r="A9" s="403" t="s">
        <v>31</v>
      </c>
      <c r="B9" s="404"/>
      <c r="C9" s="405"/>
      <c r="D9" s="402">
        <f>'Состоявшиеся аукционы'!G2</f>
        <v>26100</v>
      </c>
      <c r="E9" s="402"/>
      <c r="F9" s="402"/>
      <c r="G9" s="402">
        <f>'Состоявшиеся аукционы'!Q2</f>
        <v>25578</v>
      </c>
      <c r="H9" s="402"/>
      <c r="I9" s="402"/>
      <c r="J9" s="399">
        <f>'Состоявшиеся аукционы'!AB2</f>
        <v>0</v>
      </c>
      <c r="K9" s="400"/>
      <c r="L9" s="401"/>
      <c r="M9" s="402">
        <f t="shared" ref="M9:M15" si="0">D9-G9</f>
        <v>522</v>
      </c>
      <c r="N9" s="402"/>
    </row>
    <row r="10" spans="1:14" ht="78.75" customHeight="1" thickBot="1" x14ac:dyDescent="0.35">
      <c r="A10" s="403" t="s">
        <v>49</v>
      </c>
      <c r="B10" s="404"/>
      <c r="C10" s="405"/>
      <c r="D10" s="402">
        <f>'Несостоявшиеся аукционы'!G2</f>
        <v>763740.72</v>
      </c>
      <c r="E10" s="402"/>
      <c r="F10" s="402"/>
      <c r="G10" s="402">
        <f>'Несостоявшиеся аукционы'!Q2</f>
        <v>763740.72</v>
      </c>
      <c r="H10" s="402"/>
      <c r="I10" s="402"/>
      <c r="J10" s="399">
        <f>'Несостоявшиеся аукционы'!AB2</f>
        <v>398847.02</v>
      </c>
      <c r="K10" s="400"/>
      <c r="L10" s="401"/>
      <c r="M10" s="402">
        <f t="shared" si="0"/>
        <v>0</v>
      </c>
      <c r="N10" s="402"/>
    </row>
    <row r="11" spans="1:14" ht="40.5" customHeight="1" thickBot="1" x14ac:dyDescent="0.35">
      <c r="A11" s="403" t="s">
        <v>83</v>
      </c>
      <c r="B11" s="404"/>
      <c r="C11" s="405"/>
      <c r="D11" s="399">
        <f>'Иные конкурентные закупки'!G2</f>
        <v>1786928.62</v>
      </c>
      <c r="E11" s="400"/>
      <c r="F11" s="401"/>
      <c r="G11" s="399">
        <f>'Иные конкурентные закупки'!Q2</f>
        <v>1727500.78</v>
      </c>
      <c r="H11" s="400"/>
      <c r="I11" s="401"/>
      <c r="J11" s="399">
        <f>'Иные конкурентные закупки'!AB2</f>
        <v>0</v>
      </c>
      <c r="K11" s="400"/>
      <c r="L11" s="401"/>
      <c r="M11" s="399">
        <f t="shared" si="0"/>
        <v>59427.840000000084</v>
      </c>
      <c r="N11" s="401"/>
    </row>
    <row r="12" spans="1:14" ht="54.75" customHeight="1" thickBot="1" x14ac:dyDescent="0.35">
      <c r="A12" s="406" t="s">
        <v>50</v>
      </c>
      <c r="B12" s="407"/>
      <c r="C12" s="408"/>
      <c r="D12" s="402">
        <f>'Ед. поставщик п.4 ч.1'!H2</f>
        <v>1558779.65</v>
      </c>
      <c r="E12" s="402"/>
      <c r="F12" s="402"/>
      <c r="G12" s="402">
        <f>D12</f>
        <v>1558779.65</v>
      </c>
      <c r="H12" s="402"/>
      <c r="I12" s="402"/>
      <c r="J12" s="399">
        <f>'Ед. поставщик п.4 ч.1'!V2</f>
        <v>0</v>
      </c>
      <c r="K12" s="400"/>
      <c r="L12" s="401"/>
      <c r="M12" s="402">
        <f t="shared" si="0"/>
        <v>0</v>
      </c>
      <c r="N12" s="402"/>
    </row>
    <row r="13" spans="1:14" ht="45.75" customHeight="1" thickBot="1" x14ac:dyDescent="0.35">
      <c r="A13" s="406" t="s">
        <v>51</v>
      </c>
      <c r="B13" s="407"/>
      <c r="C13" s="408"/>
      <c r="D13" s="402">
        <f>'Ед. поставщик п.5 ч.1'!H2</f>
        <v>3238542.46</v>
      </c>
      <c r="E13" s="402"/>
      <c r="F13" s="402"/>
      <c r="G13" s="402">
        <f>D13</f>
        <v>3238542.46</v>
      </c>
      <c r="H13" s="402"/>
      <c r="I13" s="402"/>
      <c r="J13" s="399">
        <f>'Ед. поставщик п.5 ч.1'!V2</f>
        <v>271978.76</v>
      </c>
      <c r="K13" s="400"/>
      <c r="L13" s="401"/>
      <c r="M13" s="402">
        <f t="shared" si="0"/>
        <v>0</v>
      </c>
      <c r="N13" s="402"/>
    </row>
    <row r="14" spans="1:14" ht="45.75" customHeight="1" thickBot="1" x14ac:dyDescent="0.35">
      <c r="A14" s="396" t="s">
        <v>52</v>
      </c>
      <c r="B14" s="397"/>
      <c r="C14" s="398"/>
      <c r="D14" s="399">
        <f>'Ед.поставщик за искл. п.4,5 ч.1'!G2</f>
        <v>1960582.45</v>
      </c>
      <c r="E14" s="400"/>
      <c r="F14" s="401"/>
      <c r="G14" s="399">
        <f>D14</f>
        <v>1960582.45</v>
      </c>
      <c r="H14" s="400"/>
      <c r="I14" s="401"/>
      <c r="J14" s="399">
        <f>'Ед.поставщик за искл. п.4,5 ч.1'!T2</f>
        <v>0</v>
      </c>
      <c r="K14" s="400"/>
      <c r="L14" s="401"/>
      <c r="M14" s="402">
        <f t="shared" si="0"/>
        <v>0</v>
      </c>
      <c r="N14" s="402"/>
    </row>
    <row r="15" spans="1:14" ht="21.6" thickBot="1" x14ac:dyDescent="0.35">
      <c r="A15" s="409" t="s">
        <v>143</v>
      </c>
      <c r="B15" s="410"/>
      <c r="C15" s="411"/>
      <c r="D15" s="402">
        <f>SUM(D9:D14)</f>
        <v>9334673.8999999985</v>
      </c>
      <c r="E15" s="402"/>
      <c r="F15" s="402"/>
      <c r="G15" s="399">
        <f>SUM(G9:G14)</f>
        <v>9274724.0599999987</v>
      </c>
      <c r="H15" s="400"/>
      <c r="I15" s="401"/>
      <c r="J15" s="399">
        <f>SUM(J9:J14)</f>
        <v>670825.78</v>
      </c>
      <c r="K15" s="400"/>
      <c r="L15" s="401"/>
      <c r="M15" s="402">
        <f t="shared" si="0"/>
        <v>59949.839999999851</v>
      </c>
      <c r="N15" s="402"/>
    </row>
    <row r="18" spans="1:12" ht="15" thickBot="1" x14ac:dyDescent="0.35"/>
    <row r="19" spans="1:12" ht="23.25" customHeight="1" x14ac:dyDescent="0.3">
      <c r="A19" s="384" t="s">
        <v>35</v>
      </c>
      <c r="B19" s="385"/>
      <c r="C19" s="386"/>
      <c r="D19" s="39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6293834.6200000001</v>
      </c>
      <c r="E19" s="391"/>
      <c r="F19" s="391"/>
      <c r="G19" s="392"/>
      <c r="I19" s="20"/>
      <c r="J19" s="20"/>
      <c r="K19" s="20"/>
      <c r="L19" s="20"/>
    </row>
    <row r="20" spans="1:12" ht="24" customHeight="1" thickBot="1" x14ac:dyDescent="0.35">
      <c r="A20" s="387"/>
      <c r="B20" s="388"/>
      <c r="C20" s="389"/>
      <c r="D20" s="393"/>
      <c r="E20" s="394"/>
      <c r="F20" s="394"/>
      <c r="G20" s="395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46"/>
  <sheetViews>
    <sheetView showGridLines="0" topLeftCell="F1" zoomScale="51" zoomScaleNormal="70" workbookViewId="0">
      <pane ySplit="8" topLeftCell="A140" activePane="bottomLeft" state="frozen"/>
      <selection activeCell="I1" sqref="I1"/>
      <selection pane="bottomLeft" activeCell="F140" sqref="F140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6.88671875" style="12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1558779.65</v>
      </c>
      <c r="K2" s="522"/>
      <c r="L2" s="522"/>
      <c r="M2" s="522"/>
      <c r="N2" s="523" t="s">
        <v>137</v>
      </c>
      <c r="O2" s="525"/>
      <c r="P2" s="87">
        <f>SUM(P9:P9999)</f>
        <v>1184213.6299999999</v>
      </c>
      <c r="R2" s="86"/>
      <c r="S2" s="523" t="s">
        <v>45</v>
      </c>
      <c r="T2" s="524"/>
      <c r="U2" s="525"/>
      <c r="V2" s="88">
        <f>SUM(V9:V9999)</f>
        <v>0</v>
      </c>
    </row>
    <row r="3" spans="1:24" x14ac:dyDescent="0.3">
      <c r="A3" s="522"/>
      <c r="B3" s="522"/>
      <c r="C3" s="522"/>
      <c r="D3" s="522"/>
      <c r="E3" s="522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526"/>
      <c r="K4" s="526"/>
      <c r="M4" s="526"/>
      <c r="N4" s="526"/>
      <c r="O4" s="526"/>
      <c r="P4" s="526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7" customFormat="1" ht="93.75" customHeight="1" x14ac:dyDescent="0.3">
      <c r="A9" s="449">
        <v>1</v>
      </c>
      <c r="B9" s="527" t="s">
        <v>56</v>
      </c>
      <c r="C9" s="431" t="s">
        <v>146</v>
      </c>
      <c r="D9" s="431" t="s">
        <v>147</v>
      </c>
      <c r="E9" s="434">
        <v>45078</v>
      </c>
      <c r="F9" s="437">
        <v>44951</v>
      </c>
      <c r="G9" s="431" t="s">
        <v>159</v>
      </c>
      <c r="H9" s="440">
        <v>24192.32</v>
      </c>
      <c r="I9" s="443">
        <f>IF(X9 = 1, H9 + SUM(S9:S11) - SUM(T9:T11) - SUM(P9:P11) - V9,0)</f>
        <v>6048.0800000000017</v>
      </c>
      <c r="J9" s="431" t="s">
        <v>160</v>
      </c>
      <c r="K9" s="431" t="s">
        <v>161</v>
      </c>
      <c r="L9" s="431" t="s">
        <v>146</v>
      </c>
      <c r="M9" s="431" t="s">
        <v>162</v>
      </c>
      <c r="N9" s="369">
        <v>45012</v>
      </c>
      <c r="O9" s="501" t="s">
        <v>181</v>
      </c>
      <c r="P9" s="360">
        <v>6048.08</v>
      </c>
      <c r="Q9" s="361">
        <v>45022</v>
      </c>
      <c r="R9" s="362"/>
      <c r="S9" s="360"/>
      <c r="T9" s="360"/>
      <c r="U9" s="440"/>
      <c r="V9" s="452"/>
      <c r="W9" s="455"/>
      <c r="X9" s="107">
        <v>1</v>
      </c>
    </row>
    <row r="10" spans="1:24" s="111" customFormat="1" x14ac:dyDescent="0.3">
      <c r="A10" s="450"/>
      <c r="B10" s="528"/>
      <c r="C10" s="432"/>
      <c r="D10" s="432"/>
      <c r="E10" s="435"/>
      <c r="F10" s="438"/>
      <c r="G10" s="432"/>
      <c r="H10" s="441"/>
      <c r="I10" s="444"/>
      <c r="J10" s="432"/>
      <c r="K10" s="432"/>
      <c r="L10" s="432"/>
      <c r="M10" s="432"/>
      <c r="N10" s="370">
        <v>45104</v>
      </c>
      <c r="O10" s="502"/>
      <c r="P10" s="363">
        <v>6048.08</v>
      </c>
      <c r="Q10" s="364">
        <v>45110</v>
      </c>
      <c r="R10" s="365"/>
      <c r="S10" s="363"/>
      <c r="T10" s="363"/>
      <c r="U10" s="441"/>
      <c r="V10" s="453"/>
      <c r="W10" s="456"/>
      <c r="X10" s="111">
        <v>1</v>
      </c>
    </row>
    <row r="11" spans="1:24" s="349" customFormat="1" x14ac:dyDescent="0.3">
      <c r="A11" s="451"/>
      <c r="B11" s="529"/>
      <c r="C11" s="433"/>
      <c r="D11" s="433"/>
      <c r="E11" s="436"/>
      <c r="F11" s="439"/>
      <c r="G11" s="433"/>
      <c r="H11" s="442"/>
      <c r="I11" s="445"/>
      <c r="J11" s="433"/>
      <c r="K11" s="433"/>
      <c r="L11" s="433"/>
      <c r="M11" s="433"/>
      <c r="N11" s="371">
        <v>45196</v>
      </c>
      <c r="O11" s="503"/>
      <c r="P11" s="366">
        <v>6048.08</v>
      </c>
      <c r="Q11" s="367">
        <v>45201</v>
      </c>
      <c r="R11" s="368"/>
      <c r="S11" s="366"/>
      <c r="T11" s="366"/>
      <c r="U11" s="442"/>
      <c r="V11" s="454"/>
      <c r="W11" s="457"/>
      <c r="X11" s="349">
        <v>1</v>
      </c>
    </row>
    <row r="12" spans="1:24" s="107" customFormat="1" ht="93.75" customHeight="1" x14ac:dyDescent="0.3">
      <c r="A12" s="504">
        <v>2</v>
      </c>
      <c r="B12" s="510" t="s">
        <v>56</v>
      </c>
      <c r="C12" s="513" t="s">
        <v>146</v>
      </c>
      <c r="D12" s="513" t="s">
        <v>147</v>
      </c>
      <c r="E12" s="516">
        <v>1</v>
      </c>
      <c r="F12" s="519">
        <v>44952</v>
      </c>
      <c r="G12" s="513" t="s">
        <v>163</v>
      </c>
      <c r="H12" s="492">
        <v>17500</v>
      </c>
      <c r="I12" s="495">
        <f>IF(X12 = 2, H12 + SUM(S12:S15) - SUM(T12:T15) - SUM(P12:P15) - V12,0)</f>
        <v>7500</v>
      </c>
      <c r="J12" s="513" t="s">
        <v>164</v>
      </c>
      <c r="K12" s="513" t="s">
        <v>165</v>
      </c>
      <c r="L12" s="513" t="s">
        <v>146</v>
      </c>
      <c r="M12" s="513" t="s">
        <v>166</v>
      </c>
      <c r="N12" s="227">
        <v>44957</v>
      </c>
      <c r="O12" s="507" t="s">
        <v>181</v>
      </c>
      <c r="P12" s="218">
        <v>2500</v>
      </c>
      <c r="Q12" s="219">
        <v>44965</v>
      </c>
      <c r="R12" s="220"/>
      <c r="S12" s="218"/>
      <c r="T12" s="218"/>
      <c r="U12" s="492"/>
      <c r="V12" s="486"/>
      <c r="W12" s="489"/>
      <c r="X12" s="107">
        <v>2</v>
      </c>
    </row>
    <row r="13" spans="1:24" s="106" customFormat="1" x14ac:dyDescent="0.3">
      <c r="A13" s="505"/>
      <c r="B13" s="511"/>
      <c r="C13" s="514"/>
      <c r="D13" s="514"/>
      <c r="E13" s="517"/>
      <c r="F13" s="520"/>
      <c r="G13" s="514"/>
      <c r="H13" s="493"/>
      <c r="I13" s="496"/>
      <c r="J13" s="514"/>
      <c r="K13" s="514"/>
      <c r="L13" s="514"/>
      <c r="M13" s="514"/>
      <c r="N13" s="228">
        <v>44985</v>
      </c>
      <c r="O13" s="508"/>
      <c r="P13" s="221">
        <v>2500</v>
      </c>
      <c r="Q13" s="222">
        <v>44986</v>
      </c>
      <c r="R13" s="223"/>
      <c r="S13" s="221"/>
      <c r="T13" s="221"/>
      <c r="U13" s="493"/>
      <c r="V13" s="487"/>
      <c r="W13" s="490"/>
      <c r="X13" s="106">
        <v>2</v>
      </c>
    </row>
    <row r="14" spans="1:24" s="111" customFormat="1" x14ac:dyDescent="0.3">
      <c r="A14" s="505"/>
      <c r="B14" s="511"/>
      <c r="C14" s="514"/>
      <c r="D14" s="514"/>
      <c r="E14" s="517"/>
      <c r="F14" s="520"/>
      <c r="G14" s="514"/>
      <c r="H14" s="493"/>
      <c r="I14" s="496"/>
      <c r="J14" s="514"/>
      <c r="K14" s="514"/>
      <c r="L14" s="514"/>
      <c r="M14" s="514"/>
      <c r="N14" s="228">
        <v>45021</v>
      </c>
      <c r="O14" s="508"/>
      <c r="P14" s="221">
        <v>2500</v>
      </c>
      <c r="Q14" s="222">
        <v>45035</v>
      </c>
      <c r="R14" s="223"/>
      <c r="S14" s="221"/>
      <c r="T14" s="221"/>
      <c r="U14" s="493"/>
      <c r="V14" s="487"/>
      <c r="W14" s="490"/>
      <c r="X14" s="111">
        <v>2</v>
      </c>
    </row>
    <row r="15" spans="1:24" s="209" customFormat="1" x14ac:dyDescent="0.3">
      <c r="A15" s="506"/>
      <c r="B15" s="512"/>
      <c r="C15" s="515"/>
      <c r="D15" s="515"/>
      <c r="E15" s="518"/>
      <c r="F15" s="521"/>
      <c r="G15" s="515"/>
      <c r="H15" s="494"/>
      <c r="I15" s="497"/>
      <c r="J15" s="515"/>
      <c r="K15" s="515"/>
      <c r="L15" s="515"/>
      <c r="M15" s="515"/>
      <c r="N15" s="229">
        <v>45041</v>
      </c>
      <c r="O15" s="509"/>
      <c r="P15" s="224">
        <v>2500</v>
      </c>
      <c r="Q15" s="225">
        <v>45049</v>
      </c>
      <c r="R15" s="226"/>
      <c r="S15" s="224"/>
      <c r="T15" s="224"/>
      <c r="U15" s="494"/>
      <c r="V15" s="488"/>
      <c r="W15" s="491"/>
      <c r="X15" s="209">
        <v>2</v>
      </c>
    </row>
    <row r="16" spans="1:24" s="107" customFormat="1" ht="93.75" customHeight="1" x14ac:dyDescent="0.3">
      <c r="A16" s="530">
        <v>3</v>
      </c>
      <c r="B16" s="533" t="s">
        <v>56</v>
      </c>
      <c r="C16" s="483" t="s">
        <v>146</v>
      </c>
      <c r="D16" s="483" t="s">
        <v>147</v>
      </c>
      <c r="E16" s="539" t="s">
        <v>173</v>
      </c>
      <c r="F16" s="542">
        <v>44951</v>
      </c>
      <c r="G16" s="483" t="s">
        <v>174</v>
      </c>
      <c r="H16" s="477">
        <v>9000</v>
      </c>
      <c r="I16" s="480">
        <f>IF(X16 = 8, H16 + SUM(S16:S19) - SUM(T16:T19) - SUM(P16:P19) - V16,0)</f>
        <v>0</v>
      </c>
      <c r="J16" s="483" t="s">
        <v>172</v>
      </c>
      <c r="K16" s="483" t="s">
        <v>171</v>
      </c>
      <c r="L16" s="483" t="s">
        <v>146</v>
      </c>
      <c r="M16" s="483" t="s">
        <v>175</v>
      </c>
      <c r="N16" s="121">
        <v>44957</v>
      </c>
      <c r="O16" s="545" t="s">
        <v>181</v>
      </c>
      <c r="P16" s="112">
        <v>3000</v>
      </c>
      <c r="Q16" s="113">
        <v>44963</v>
      </c>
      <c r="R16" s="114"/>
      <c r="S16" s="112"/>
      <c r="T16" s="112"/>
      <c r="U16" s="477"/>
      <c r="V16" s="498"/>
      <c r="W16" s="536"/>
      <c r="X16" s="107">
        <v>8</v>
      </c>
    </row>
    <row r="17" spans="1:24" s="106" customFormat="1" x14ac:dyDescent="0.3">
      <c r="A17" s="531"/>
      <c r="B17" s="534"/>
      <c r="C17" s="484"/>
      <c r="D17" s="484"/>
      <c r="E17" s="540"/>
      <c r="F17" s="543"/>
      <c r="G17" s="484"/>
      <c r="H17" s="478"/>
      <c r="I17" s="481"/>
      <c r="J17" s="484"/>
      <c r="K17" s="484"/>
      <c r="L17" s="484"/>
      <c r="M17" s="484"/>
      <c r="N17" s="122">
        <v>44985</v>
      </c>
      <c r="O17" s="546"/>
      <c r="P17" s="115">
        <v>3000</v>
      </c>
      <c r="Q17" s="116">
        <v>44986</v>
      </c>
      <c r="R17" s="117"/>
      <c r="S17" s="115"/>
      <c r="T17" s="115"/>
      <c r="U17" s="478"/>
      <c r="V17" s="499"/>
      <c r="W17" s="537"/>
      <c r="X17" s="106">
        <v>8</v>
      </c>
    </row>
    <row r="18" spans="1:24" s="111" customFormat="1" x14ac:dyDescent="0.3">
      <c r="A18" s="531"/>
      <c r="B18" s="534"/>
      <c r="C18" s="484"/>
      <c r="D18" s="484"/>
      <c r="E18" s="540"/>
      <c r="F18" s="543"/>
      <c r="G18" s="484"/>
      <c r="H18" s="478"/>
      <c r="I18" s="481"/>
      <c r="J18" s="484"/>
      <c r="K18" s="484"/>
      <c r="L18" s="484"/>
      <c r="M18" s="484"/>
      <c r="N18" s="122">
        <v>45016</v>
      </c>
      <c r="O18" s="546"/>
      <c r="P18" s="115">
        <v>3000</v>
      </c>
      <c r="Q18" s="116">
        <v>45022</v>
      </c>
      <c r="R18" s="117"/>
      <c r="S18" s="115"/>
      <c r="T18" s="115"/>
      <c r="U18" s="478"/>
      <c r="V18" s="499"/>
      <c r="W18" s="537"/>
      <c r="X18" s="111">
        <v>8</v>
      </c>
    </row>
    <row r="19" spans="1:24" s="111" customFormat="1" x14ac:dyDescent="0.3">
      <c r="A19" s="532"/>
      <c r="B19" s="535"/>
      <c r="C19" s="485"/>
      <c r="D19" s="485"/>
      <c r="E19" s="541"/>
      <c r="F19" s="544"/>
      <c r="G19" s="485"/>
      <c r="H19" s="479"/>
      <c r="I19" s="482"/>
      <c r="J19" s="485"/>
      <c r="K19" s="485"/>
      <c r="L19" s="485"/>
      <c r="M19" s="485"/>
      <c r="N19" s="123"/>
      <c r="O19" s="547"/>
      <c r="P19" s="118"/>
      <c r="Q19" s="119"/>
      <c r="R19" s="120"/>
      <c r="S19" s="118"/>
      <c r="T19" s="118"/>
      <c r="U19" s="479"/>
      <c r="V19" s="500"/>
      <c r="W19" s="538"/>
      <c r="X19" s="111">
        <v>8</v>
      </c>
    </row>
    <row r="20" spans="1:24" s="107" customFormat="1" ht="168.75" customHeight="1" x14ac:dyDescent="0.3">
      <c r="A20" s="449">
        <v>4</v>
      </c>
      <c r="B20" s="431" t="s">
        <v>56</v>
      </c>
      <c r="C20" s="431" t="s">
        <v>146</v>
      </c>
      <c r="D20" s="431" t="s">
        <v>147</v>
      </c>
      <c r="E20" s="434">
        <v>34000838</v>
      </c>
      <c r="F20" s="437">
        <v>44951</v>
      </c>
      <c r="G20" s="431" t="s">
        <v>192</v>
      </c>
      <c r="H20" s="440">
        <v>27331.200000000001</v>
      </c>
      <c r="I20" s="443">
        <f>IF(X20 = 23, H20 + SUM(S20:S28) - SUM(T20:T28) - SUM(P20:P28) - V20,0)</f>
        <v>6832.8000000000029</v>
      </c>
      <c r="J20" s="431" t="s">
        <v>193</v>
      </c>
      <c r="K20" s="431" t="s">
        <v>194</v>
      </c>
      <c r="L20" s="431" t="s">
        <v>146</v>
      </c>
      <c r="M20" s="431"/>
      <c r="N20" s="369">
        <v>44957</v>
      </c>
      <c r="O20" s="437" t="s">
        <v>181</v>
      </c>
      <c r="P20" s="360">
        <v>2277.6</v>
      </c>
      <c r="Q20" s="361">
        <v>44974</v>
      </c>
      <c r="R20" s="362"/>
      <c r="S20" s="360"/>
      <c r="T20" s="360"/>
      <c r="U20" s="440"/>
      <c r="V20" s="452"/>
      <c r="W20" s="455"/>
      <c r="X20" s="107">
        <v>23</v>
      </c>
    </row>
    <row r="21" spans="1:24" s="134" customFormat="1" x14ac:dyDescent="0.3">
      <c r="A21" s="450"/>
      <c r="B21" s="432"/>
      <c r="C21" s="432"/>
      <c r="D21" s="432"/>
      <c r="E21" s="435"/>
      <c r="F21" s="438"/>
      <c r="G21" s="432"/>
      <c r="H21" s="441"/>
      <c r="I21" s="444"/>
      <c r="J21" s="432"/>
      <c r="K21" s="432"/>
      <c r="L21" s="432"/>
      <c r="M21" s="432"/>
      <c r="N21" s="370">
        <v>44985</v>
      </c>
      <c r="O21" s="438"/>
      <c r="P21" s="363">
        <v>2277.6</v>
      </c>
      <c r="Q21" s="364">
        <v>44986</v>
      </c>
      <c r="R21" s="365"/>
      <c r="S21" s="363"/>
      <c r="T21" s="363"/>
      <c r="U21" s="441"/>
      <c r="V21" s="453"/>
      <c r="W21" s="456"/>
      <c r="X21" s="134">
        <v>23</v>
      </c>
    </row>
    <row r="22" spans="1:24" s="176" customFormat="1" x14ac:dyDescent="0.3">
      <c r="A22" s="450"/>
      <c r="B22" s="432"/>
      <c r="C22" s="432"/>
      <c r="D22" s="432"/>
      <c r="E22" s="435"/>
      <c r="F22" s="438"/>
      <c r="G22" s="432"/>
      <c r="H22" s="441"/>
      <c r="I22" s="444"/>
      <c r="J22" s="432"/>
      <c r="K22" s="432"/>
      <c r="L22" s="432"/>
      <c r="M22" s="432"/>
      <c r="N22" s="370">
        <v>45016</v>
      </c>
      <c r="O22" s="438"/>
      <c r="P22" s="363">
        <v>2277.6</v>
      </c>
      <c r="Q22" s="364">
        <v>45022</v>
      </c>
      <c r="R22" s="365"/>
      <c r="S22" s="363"/>
      <c r="T22" s="363"/>
      <c r="U22" s="441"/>
      <c r="V22" s="453"/>
      <c r="W22" s="456"/>
      <c r="X22" s="176">
        <v>23</v>
      </c>
    </row>
    <row r="23" spans="1:24" s="209" customFormat="1" x14ac:dyDescent="0.3">
      <c r="A23" s="450"/>
      <c r="B23" s="432"/>
      <c r="C23" s="432"/>
      <c r="D23" s="432"/>
      <c r="E23" s="435"/>
      <c r="F23" s="438"/>
      <c r="G23" s="432"/>
      <c r="H23" s="441"/>
      <c r="I23" s="444"/>
      <c r="J23" s="432"/>
      <c r="K23" s="432"/>
      <c r="L23" s="432"/>
      <c r="M23" s="432"/>
      <c r="N23" s="370">
        <v>45046</v>
      </c>
      <c r="O23" s="438"/>
      <c r="P23" s="363">
        <v>2277.6</v>
      </c>
      <c r="Q23" s="364">
        <v>45049</v>
      </c>
      <c r="R23" s="365"/>
      <c r="S23" s="363"/>
      <c r="T23" s="363"/>
      <c r="U23" s="441"/>
      <c r="V23" s="453"/>
      <c r="W23" s="456"/>
      <c r="X23" s="209">
        <v>23</v>
      </c>
    </row>
    <row r="24" spans="1:24" s="291" customFormat="1" x14ac:dyDescent="0.3">
      <c r="A24" s="450"/>
      <c r="B24" s="432"/>
      <c r="C24" s="432"/>
      <c r="D24" s="432"/>
      <c r="E24" s="435"/>
      <c r="F24" s="438"/>
      <c r="G24" s="432"/>
      <c r="H24" s="441"/>
      <c r="I24" s="444"/>
      <c r="J24" s="432"/>
      <c r="K24" s="432"/>
      <c r="L24" s="432"/>
      <c r="M24" s="432"/>
      <c r="N24" s="370">
        <v>45077</v>
      </c>
      <c r="O24" s="438"/>
      <c r="P24" s="363">
        <v>2277.6</v>
      </c>
      <c r="Q24" s="364">
        <v>45082</v>
      </c>
      <c r="R24" s="365"/>
      <c r="S24" s="363"/>
      <c r="T24" s="363"/>
      <c r="U24" s="441"/>
      <c r="V24" s="453"/>
      <c r="W24" s="456"/>
      <c r="X24" s="291">
        <v>23</v>
      </c>
    </row>
    <row r="25" spans="1:24" s="291" customFormat="1" x14ac:dyDescent="0.3">
      <c r="A25" s="450"/>
      <c r="B25" s="432"/>
      <c r="C25" s="432"/>
      <c r="D25" s="432"/>
      <c r="E25" s="435"/>
      <c r="F25" s="438"/>
      <c r="G25" s="432"/>
      <c r="H25" s="441"/>
      <c r="I25" s="444"/>
      <c r="J25" s="432"/>
      <c r="K25" s="432"/>
      <c r="L25" s="432"/>
      <c r="M25" s="432"/>
      <c r="N25" s="370">
        <v>45107</v>
      </c>
      <c r="O25" s="438"/>
      <c r="P25" s="363">
        <v>2277.6</v>
      </c>
      <c r="Q25" s="364">
        <v>45110</v>
      </c>
      <c r="R25" s="365"/>
      <c r="S25" s="363"/>
      <c r="T25" s="363"/>
      <c r="U25" s="441"/>
      <c r="V25" s="453"/>
      <c r="W25" s="456"/>
      <c r="X25" s="291">
        <v>23</v>
      </c>
    </row>
    <row r="26" spans="1:24" s="292" customFormat="1" x14ac:dyDescent="0.3">
      <c r="A26" s="450"/>
      <c r="B26" s="432"/>
      <c r="C26" s="432"/>
      <c r="D26" s="432"/>
      <c r="E26" s="435"/>
      <c r="F26" s="438"/>
      <c r="G26" s="432"/>
      <c r="H26" s="441"/>
      <c r="I26" s="444"/>
      <c r="J26" s="432"/>
      <c r="K26" s="432"/>
      <c r="L26" s="432"/>
      <c r="M26" s="432"/>
      <c r="N26" s="370">
        <v>45138</v>
      </c>
      <c r="O26" s="438"/>
      <c r="P26" s="363">
        <v>2277.6</v>
      </c>
      <c r="Q26" s="364">
        <v>45142</v>
      </c>
      <c r="R26" s="365"/>
      <c r="S26" s="363"/>
      <c r="T26" s="363"/>
      <c r="U26" s="441"/>
      <c r="V26" s="453"/>
      <c r="W26" s="456"/>
      <c r="X26" s="292">
        <v>23</v>
      </c>
    </row>
    <row r="27" spans="1:24" s="307" customFormat="1" x14ac:dyDescent="0.3">
      <c r="A27" s="450"/>
      <c r="B27" s="432"/>
      <c r="C27" s="432"/>
      <c r="D27" s="432"/>
      <c r="E27" s="435"/>
      <c r="F27" s="438"/>
      <c r="G27" s="432"/>
      <c r="H27" s="441"/>
      <c r="I27" s="444"/>
      <c r="J27" s="432"/>
      <c r="K27" s="432"/>
      <c r="L27" s="432"/>
      <c r="M27" s="432"/>
      <c r="N27" s="370">
        <v>45169</v>
      </c>
      <c r="O27" s="438"/>
      <c r="P27" s="363">
        <v>2277.6</v>
      </c>
      <c r="Q27" s="364">
        <v>45169</v>
      </c>
      <c r="R27" s="365"/>
      <c r="S27" s="363"/>
      <c r="T27" s="363"/>
      <c r="U27" s="441"/>
      <c r="V27" s="453"/>
      <c r="W27" s="456"/>
      <c r="X27" s="307">
        <v>23</v>
      </c>
    </row>
    <row r="28" spans="1:24" s="349" customFormat="1" x14ac:dyDescent="0.3">
      <c r="A28" s="451"/>
      <c r="B28" s="433"/>
      <c r="C28" s="433"/>
      <c r="D28" s="433"/>
      <c r="E28" s="436"/>
      <c r="F28" s="439"/>
      <c r="G28" s="433"/>
      <c r="H28" s="442"/>
      <c r="I28" s="445"/>
      <c r="J28" s="433"/>
      <c r="K28" s="433"/>
      <c r="L28" s="433"/>
      <c r="M28" s="433"/>
      <c r="N28" s="371">
        <v>45198</v>
      </c>
      <c r="O28" s="439"/>
      <c r="P28" s="366">
        <v>2277.6</v>
      </c>
      <c r="Q28" s="367">
        <v>45204</v>
      </c>
      <c r="R28" s="368"/>
      <c r="S28" s="366"/>
      <c r="T28" s="366"/>
      <c r="U28" s="442"/>
      <c r="V28" s="454"/>
      <c r="W28" s="457"/>
      <c r="X28" s="349">
        <v>23</v>
      </c>
    </row>
    <row r="29" spans="1:24" s="107" customFormat="1" ht="168.75" customHeight="1" x14ac:dyDescent="0.3">
      <c r="A29" s="449">
        <v>5</v>
      </c>
      <c r="B29" s="431" t="s">
        <v>56</v>
      </c>
      <c r="C29" s="431" t="s">
        <v>146</v>
      </c>
      <c r="D29" s="431" t="s">
        <v>147</v>
      </c>
      <c r="E29" s="434">
        <v>166</v>
      </c>
      <c r="F29" s="437">
        <v>44951</v>
      </c>
      <c r="G29" s="431" t="s">
        <v>203</v>
      </c>
      <c r="H29" s="440">
        <v>12000</v>
      </c>
      <c r="I29" s="443">
        <f>IF(X29 = 24, H29 + SUM(S29:S37) - SUM(T29:T37) - SUM(P29:P37) - V29,0)</f>
        <v>1791.2199999999993</v>
      </c>
      <c r="J29" s="431" t="s">
        <v>204</v>
      </c>
      <c r="K29" s="431" t="s">
        <v>169</v>
      </c>
      <c r="L29" s="431" t="s">
        <v>146</v>
      </c>
      <c r="M29" s="431"/>
      <c r="N29" s="369">
        <v>44957</v>
      </c>
      <c r="O29" s="437" t="s">
        <v>181</v>
      </c>
      <c r="P29" s="360">
        <v>1246.25</v>
      </c>
      <c r="Q29" s="361">
        <v>44965</v>
      </c>
      <c r="R29" s="362"/>
      <c r="S29" s="360"/>
      <c r="T29" s="360"/>
      <c r="U29" s="440"/>
      <c r="V29" s="452"/>
      <c r="W29" s="455"/>
      <c r="X29" s="107">
        <v>24</v>
      </c>
    </row>
    <row r="30" spans="1:24" s="134" customFormat="1" x14ac:dyDescent="0.3">
      <c r="A30" s="450"/>
      <c r="B30" s="432"/>
      <c r="C30" s="432"/>
      <c r="D30" s="432"/>
      <c r="E30" s="435"/>
      <c r="F30" s="438"/>
      <c r="G30" s="432"/>
      <c r="H30" s="441"/>
      <c r="I30" s="444"/>
      <c r="J30" s="432"/>
      <c r="K30" s="432"/>
      <c r="L30" s="432"/>
      <c r="M30" s="432"/>
      <c r="N30" s="370">
        <v>44985</v>
      </c>
      <c r="O30" s="438"/>
      <c r="P30" s="363">
        <v>1193.94</v>
      </c>
      <c r="Q30" s="364">
        <v>44995</v>
      </c>
      <c r="R30" s="365"/>
      <c r="S30" s="363"/>
      <c r="T30" s="363"/>
      <c r="U30" s="441"/>
      <c r="V30" s="453"/>
      <c r="W30" s="456"/>
      <c r="X30" s="134">
        <v>24</v>
      </c>
    </row>
    <row r="31" spans="1:24" s="176" customFormat="1" x14ac:dyDescent="0.3">
      <c r="A31" s="450"/>
      <c r="B31" s="432"/>
      <c r="C31" s="432"/>
      <c r="D31" s="432"/>
      <c r="E31" s="435"/>
      <c r="F31" s="438"/>
      <c r="G31" s="432"/>
      <c r="H31" s="441"/>
      <c r="I31" s="444"/>
      <c r="J31" s="432"/>
      <c r="K31" s="432"/>
      <c r="L31" s="432"/>
      <c r="M31" s="432"/>
      <c r="N31" s="370">
        <v>45016</v>
      </c>
      <c r="O31" s="438"/>
      <c r="P31" s="363">
        <v>1291.82</v>
      </c>
      <c r="Q31" s="364">
        <v>45022</v>
      </c>
      <c r="R31" s="365"/>
      <c r="S31" s="363"/>
      <c r="T31" s="363"/>
      <c r="U31" s="441"/>
      <c r="V31" s="453"/>
      <c r="W31" s="456"/>
      <c r="X31" s="176">
        <v>24</v>
      </c>
    </row>
    <row r="32" spans="1:24" s="209" customFormat="1" x14ac:dyDescent="0.3">
      <c r="A32" s="450"/>
      <c r="B32" s="432"/>
      <c r="C32" s="432"/>
      <c r="D32" s="432"/>
      <c r="E32" s="435"/>
      <c r="F32" s="438"/>
      <c r="G32" s="432"/>
      <c r="H32" s="441"/>
      <c r="I32" s="444"/>
      <c r="J32" s="432"/>
      <c r="K32" s="432"/>
      <c r="L32" s="432"/>
      <c r="M32" s="432"/>
      <c r="N32" s="370">
        <v>45046</v>
      </c>
      <c r="O32" s="438"/>
      <c r="P32" s="363">
        <v>1075.28</v>
      </c>
      <c r="Q32" s="364">
        <v>45051</v>
      </c>
      <c r="R32" s="365"/>
      <c r="S32" s="363"/>
      <c r="T32" s="363"/>
      <c r="U32" s="441"/>
      <c r="V32" s="453"/>
      <c r="W32" s="456"/>
      <c r="X32" s="209">
        <v>24</v>
      </c>
    </row>
    <row r="33" spans="1:24" s="249" customFormat="1" x14ac:dyDescent="0.3">
      <c r="A33" s="450"/>
      <c r="B33" s="432"/>
      <c r="C33" s="432"/>
      <c r="D33" s="432"/>
      <c r="E33" s="435"/>
      <c r="F33" s="438"/>
      <c r="G33" s="432"/>
      <c r="H33" s="441"/>
      <c r="I33" s="444"/>
      <c r="J33" s="432"/>
      <c r="K33" s="432"/>
      <c r="L33" s="432"/>
      <c r="M33" s="432"/>
      <c r="N33" s="370">
        <v>45077</v>
      </c>
      <c r="O33" s="438"/>
      <c r="P33" s="363">
        <v>1097.26</v>
      </c>
      <c r="Q33" s="364">
        <v>45086</v>
      </c>
      <c r="R33" s="365"/>
      <c r="S33" s="363"/>
      <c r="T33" s="363"/>
      <c r="U33" s="441"/>
      <c r="V33" s="453"/>
      <c r="W33" s="456"/>
      <c r="X33" s="249">
        <v>24</v>
      </c>
    </row>
    <row r="34" spans="1:24" s="291" customFormat="1" x14ac:dyDescent="0.3">
      <c r="A34" s="450"/>
      <c r="B34" s="432"/>
      <c r="C34" s="432"/>
      <c r="D34" s="432"/>
      <c r="E34" s="435"/>
      <c r="F34" s="438"/>
      <c r="G34" s="432"/>
      <c r="H34" s="441"/>
      <c r="I34" s="444"/>
      <c r="J34" s="432"/>
      <c r="K34" s="432"/>
      <c r="L34" s="432"/>
      <c r="M34" s="432"/>
      <c r="N34" s="370">
        <v>45107</v>
      </c>
      <c r="O34" s="438"/>
      <c r="P34" s="363">
        <v>1060.01</v>
      </c>
      <c r="Q34" s="364">
        <v>45113</v>
      </c>
      <c r="R34" s="365"/>
      <c r="S34" s="363"/>
      <c r="T34" s="363"/>
      <c r="U34" s="441"/>
      <c r="V34" s="453"/>
      <c r="W34" s="456"/>
      <c r="X34" s="291">
        <v>24</v>
      </c>
    </row>
    <row r="35" spans="1:24" s="292" customFormat="1" x14ac:dyDescent="0.3">
      <c r="A35" s="450"/>
      <c r="B35" s="432"/>
      <c r="C35" s="432"/>
      <c r="D35" s="432"/>
      <c r="E35" s="435"/>
      <c r="F35" s="438"/>
      <c r="G35" s="432"/>
      <c r="H35" s="441"/>
      <c r="I35" s="444"/>
      <c r="J35" s="432"/>
      <c r="K35" s="432"/>
      <c r="L35" s="432"/>
      <c r="M35" s="432"/>
      <c r="N35" s="370">
        <v>45138</v>
      </c>
      <c r="O35" s="438"/>
      <c r="P35" s="363">
        <v>1086.04</v>
      </c>
      <c r="Q35" s="364">
        <v>45145</v>
      </c>
      <c r="R35" s="365"/>
      <c r="S35" s="363"/>
      <c r="T35" s="363"/>
      <c r="U35" s="441"/>
      <c r="V35" s="453"/>
      <c r="W35" s="456"/>
      <c r="X35" s="292">
        <v>24</v>
      </c>
    </row>
    <row r="36" spans="1:24" s="332" customFormat="1" x14ac:dyDescent="0.3">
      <c r="A36" s="450"/>
      <c r="B36" s="432"/>
      <c r="C36" s="432"/>
      <c r="D36" s="432"/>
      <c r="E36" s="435"/>
      <c r="F36" s="438"/>
      <c r="G36" s="432"/>
      <c r="H36" s="441"/>
      <c r="I36" s="444"/>
      <c r="J36" s="432"/>
      <c r="K36" s="432"/>
      <c r="L36" s="432"/>
      <c r="M36" s="432"/>
      <c r="N36" s="370">
        <v>45169</v>
      </c>
      <c r="O36" s="438"/>
      <c r="P36" s="363">
        <v>1033.6199999999999</v>
      </c>
      <c r="Q36" s="364">
        <v>45174</v>
      </c>
      <c r="R36" s="365"/>
      <c r="S36" s="363"/>
      <c r="T36" s="363"/>
      <c r="U36" s="441"/>
      <c r="V36" s="453"/>
      <c r="W36" s="456"/>
      <c r="X36" s="332">
        <v>24</v>
      </c>
    </row>
    <row r="37" spans="1:24" s="349" customFormat="1" x14ac:dyDescent="0.3">
      <c r="A37" s="451"/>
      <c r="B37" s="433"/>
      <c r="C37" s="433"/>
      <c r="D37" s="433"/>
      <c r="E37" s="436"/>
      <c r="F37" s="439"/>
      <c r="G37" s="433"/>
      <c r="H37" s="442"/>
      <c r="I37" s="445"/>
      <c r="J37" s="433"/>
      <c r="K37" s="433"/>
      <c r="L37" s="433"/>
      <c r="M37" s="433"/>
      <c r="N37" s="371">
        <v>45199</v>
      </c>
      <c r="O37" s="439"/>
      <c r="P37" s="366">
        <v>1124.56</v>
      </c>
      <c r="Q37" s="367">
        <v>45204</v>
      </c>
      <c r="R37" s="368"/>
      <c r="S37" s="366"/>
      <c r="T37" s="366"/>
      <c r="U37" s="442"/>
      <c r="V37" s="454"/>
      <c r="W37" s="457"/>
      <c r="X37" s="349">
        <v>24</v>
      </c>
    </row>
    <row r="38" spans="1:24" s="107" customFormat="1" ht="168.75" customHeight="1" x14ac:dyDescent="0.3">
      <c r="A38" s="449">
        <v>6</v>
      </c>
      <c r="B38" s="431" t="s">
        <v>56</v>
      </c>
      <c r="C38" s="431" t="s">
        <v>146</v>
      </c>
      <c r="D38" s="431" t="s">
        <v>147</v>
      </c>
      <c r="E38" s="458" t="s">
        <v>205</v>
      </c>
      <c r="F38" s="437">
        <v>44951</v>
      </c>
      <c r="G38" s="431" t="s">
        <v>203</v>
      </c>
      <c r="H38" s="440">
        <v>3000</v>
      </c>
      <c r="I38" s="443">
        <f>IF(X38 = 25, H38 + SUM(S38:S42) - SUM(T38:T42) - SUM(P38:P42) - V38,0)</f>
        <v>2931.65</v>
      </c>
      <c r="J38" s="431" t="s">
        <v>204</v>
      </c>
      <c r="K38" s="431" t="s">
        <v>169</v>
      </c>
      <c r="L38" s="431" t="s">
        <v>146</v>
      </c>
      <c r="M38" s="431"/>
      <c r="N38" s="369">
        <v>44957</v>
      </c>
      <c r="O38" s="437" t="s">
        <v>181</v>
      </c>
      <c r="P38" s="360">
        <v>18.36</v>
      </c>
      <c r="Q38" s="361">
        <v>44965</v>
      </c>
      <c r="R38" s="362"/>
      <c r="S38" s="360"/>
      <c r="T38" s="360"/>
      <c r="U38" s="440"/>
      <c r="V38" s="452"/>
      <c r="W38" s="455"/>
      <c r="X38" s="107">
        <v>25</v>
      </c>
    </row>
    <row r="39" spans="1:24" s="134" customFormat="1" x14ac:dyDescent="0.3">
      <c r="A39" s="450"/>
      <c r="B39" s="432"/>
      <c r="C39" s="432"/>
      <c r="D39" s="432"/>
      <c r="E39" s="459"/>
      <c r="F39" s="438"/>
      <c r="G39" s="432"/>
      <c r="H39" s="441"/>
      <c r="I39" s="444"/>
      <c r="J39" s="432"/>
      <c r="K39" s="432"/>
      <c r="L39" s="432"/>
      <c r="M39" s="432"/>
      <c r="N39" s="370">
        <v>44985</v>
      </c>
      <c r="O39" s="438"/>
      <c r="P39" s="363" t="s">
        <v>229</v>
      </c>
      <c r="Q39" s="364">
        <v>44995</v>
      </c>
      <c r="R39" s="365"/>
      <c r="S39" s="363"/>
      <c r="T39" s="363"/>
      <c r="U39" s="441"/>
      <c r="V39" s="453"/>
      <c r="W39" s="456"/>
      <c r="X39" s="134">
        <v>25</v>
      </c>
    </row>
    <row r="40" spans="1:24" s="176" customFormat="1" x14ac:dyDescent="0.3">
      <c r="A40" s="450"/>
      <c r="B40" s="432"/>
      <c r="C40" s="432"/>
      <c r="D40" s="432"/>
      <c r="E40" s="459"/>
      <c r="F40" s="438"/>
      <c r="G40" s="432"/>
      <c r="H40" s="441"/>
      <c r="I40" s="444"/>
      <c r="J40" s="432"/>
      <c r="K40" s="432"/>
      <c r="L40" s="432"/>
      <c r="M40" s="432"/>
      <c r="N40" s="370">
        <v>45077</v>
      </c>
      <c r="O40" s="438"/>
      <c r="P40" s="363">
        <v>2.95</v>
      </c>
      <c r="Q40" s="364">
        <v>45086</v>
      </c>
      <c r="R40" s="365"/>
      <c r="S40" s="363"/>
      <c r="T40" s="363"/>
      <c r="U40" s="441"/>
      <c r="V40" s="453"/>
      <c r="W40" s="456"/>
      <c r="X40" s="176">
        <v>25</v>
      </c>
    </row>
    <row r="41" spans="1:24" s="332" customFormat="1" x14ac:dyDescent="0.3">
      <c r="A41" s="450"/>
      <c r="B41" s="432"/>
      <c r="C41" s="432"/>
      <c r="D41" s="432"/>
      <c r="E41" s="459"/>
      <c r="F41" s="438"/>
      <c r="G41" s="432"/>
      <c r="H41" s="441"/>
      <c r="I41" s="444"/>
      <c r="J41" s="432"/>
      <c r="K41" s="432"/>
      <c r="L41" s="432"/>
      <c r="M41" s="432"/>
      <c r="N41" s="370">
        <v>45169</v>
      </c>
      <c r="O41" s="438"/>
      <c r="P41" s="363" t="s">
        <v>369</v>
      </c>
      <c r="Q41" s="364">
        <v>45174</v>
      </c>
      <c r="R41" s="365"/>
      <c r="S41" s="363"/>
      <c r="T41" s="363"/>
      <c r="U41" s="441"/>
      <c r="V41" s="453"/>
      <c r="W41" s="456"/>
      <c r="X41" s="332">
        <v>25</v>
      </c>
    </row>
    <row r="42" spans="1:24" s="349" customFormat="1" x14ac:dyDescent="0.3">
      <c r="A42" s="451"/>
      <c r="B42" s="433"/>
      <c r="C42" s="433"/>
      <c r="D42" s="433"/>
      <c r="E42" s="460"/>
      <c r="F42" s="439"/>
      <c r="G42" s="433"/>
      <c r="H42" s="442"/>
      <c r="I42" s="445"/>
      <c r="J42" s="433"/>
      <c r="K42" s="433"/>
      <c r="L42" s="433"/>
      <c r="M42" s="433"/>
      <c r="N42" s="371">
        <v>45199</v>
      </c>
      <c r="O42" s="439"/>
      <c r="P42" s="366">
        <v>47.04</v>
      </c>
      <c r="Q42" s="367">
        <v>45204</v>
      </c>
      <c r="R42" s="368"/>
      <c r="S42" s="366"/>
      <c r="T42" s="366"/>
      <c r="U42" s="442"/>
      <c r="V42" s="454"/>
      <c r="W42" s="457"/>
      <c r="X42" s="349">
        <v>25</v>
      </c>
    </row>
    <row r="43" spans="1:24" s="107" customFormat="1" ht="168.75" customHeight="1" x14ac:dyDescent="0.3">
      <c r="A43" s="449">
        <v>7</v>
      </c>
      <c r="B43" s="431" t="s">
        <v>56</v>
      </c>
      <c r="C43" s="431" t="s">
        <v>146</v>
      </c>
      <c r="D43" s="431" t="s">
        <v>147</v>
      </c>
      <c r="E43" s="434">
        <v>4</v>
      </c>
      <c r="F43" s="437">
        <v>44952</v>
      </c>
      <c r="G43" s="431" t="s">
        <v>206</v>
      </c>
      <c r="H43" s="440">
        <v>24000</v>
      </c>
      <c r="I43" s="443">
        <f>IF(X43 = 26, H43 + SUM(S43:S51) - SUM(T43:T51) - SUM(P43:P51) - V43,0)</f>
        <v>6000</v>
      </c>
      <c r="J43" s="431" t="s">
        <v>172</v>
      </c>
      <c r="K43" s="431" t="s">
        <v>171</v>
      </c>
      <c r="L43" s="431" t="s">
        <v>146</v>
      </c>
      <c r="M43" s="431"/>
      <c r="N43" s="369">
        <v>44969</v>
      </c>
      <c r="O43" s="437" t="s">
        <v>181</v>
      </c>
      <c r="P43" s="360">
        <v>2000</v>
      </c>
      <c r="Q43" s="361">
        <v>44974</v>
      </c>
      <c r="R43" s="362"/>
      <c r="S43" s="360"/>
      <c r="T43" s="360"/>
      <c r="U43" s="440"/>
      <c r="V43" s="452"/>
      <c r="W43" s="455"/>
      <c r="X43" s="107">
        <v>26</v>
      </c>
    </row>
    <row r="44" spans="1:24" s="134" customFormat="1" x14ac:dyDescent="0.3">
      <c r="A44" s="450"/>
      <c r="B44" s="432"/>
      <c r="C44" s="432"/>
      <c r="D44" s="432"/>
      <c r="E44" s="435"/>
      <c r="F44" s="438"/>
      <c r="G44" s="432"/>
      <c r="H44" s="441"/>
      <c r="I44" s="444"/>
      <c r="J44" s="432"/>
      <c r="K44" s="432"/>
      <c r="L44" s="432"/>
      <c r="M44" s="432"/>
      <c r="N44" s="370">
        <v>44985</v>
      </c>
      <c r="O44" s="438"/>
      <c r="P44" s="363">
        <v>2000</v>
      </c>
      <c r="Q44" s="364">
        <v>44986</v>
      </c>
      <c r="R44" s="365"/>
      <c r="S44" s="363"/>
      <c r="T44" s="363"/>
      <c r="U44" s="441"/>
      <c r="V44" s="453"/>
      <c r="W44" s="456"/>
      <c r="X44" s="134">
        <v>26</v>
      </c>
    </row>
    <row r="45" spans="1:24" s="176" customFormat="1" x14ac:dyDescent="0.3">
      <c r="A45" s="450"/>
      <c r="B45" s="432"/>
      <c r="C45" s="432"/>
      <c r="D45" s="432"/>
      <c r="E45" s="435"/>
      <c r="F45" s="438"/>
      <c r="G45" s="432"/>
      <c r="H45" s="441"/>
      <c r="I45" s="444"/>
      <c r="J45" s="432"/>
      <c r="K45" s="432"/>
      <c r="L45" s="432"/>
      <c r="M45" s="432"/>
      <c r="N45" s="370">
        <v>45016</v>
      </c>
      <c r="O45" s="438"/>
      <c r="P45" s="363">
        <v>2000</v>
      </c>
      <c r="Q45" s="364">
        <v>45022</v>
      </c>
      <c r="R45" s="365"/>
      <c r="S45" s="363"/>
      <c r="T45" s="363"/>
      <c r="U45" s="441"/>
      <c r="V45" s="453"/>
      <c r="W45" s="456"/>
      <c r="X45" s="176">
        <v>26</v>
      </c>
    </row>
    <row r="46" spans="1:24" s="209" customFormat="1" x14ac:dyDescent="0.3">
      <c r="A46" s="450"/>
      <c r="B46" s="432"/>
      <c r="C46" s="432"/>
      <c r="D46" s="432"/>
      <c r="E46" s="435"/>
      <c r="F46" s="438"/>
      <c r="G46" s="432"/>
      <c r="H46" s="441"/>
      <c r="I46" s="444"/>
      <c r="J46" s="432"/>
      <c r="K46" s="432"/>
      <c r="L46" s="432"/>
      <c r="M46" s="432"/>
      <c r="N46" s="370">
        <v>45046</v>
      </c>
      <c r="O46" s="438"/>
      <c r="P46" s="363">
        <v>2000</v>
      </c>
      <c r="Q46" s="364">
        <v>45049</v>
      </c>
      <c r="R46" s="365"/>
      <c r="S46" s="363"/>
      <c r="T46" s="363"/>
      <c r="U46" s="441"/>
      <c r="V46" s="453"/>
      <c r="W46" s="456"/>
      <c r="X46" s="209">
        <v>26</v>
      </c>
    </row>
    <row r="47" spans="1:24" s="249" customFormat="1" x14ac:dyDescent="0.3">
      <c r="A47" s="450"/>
      <c r="B47" s="432"/>
      <c r="C47" s="432"/>
      <c r="D47" s="432"/>
      <c r="E47" s="435"/>
      <c r="F47" s="438"/>
      <c r="G47" s="432"/>
      <c r="H47" s="441"/>
      <c r="I47" s="444"/>
      <c r="J47" s="432"/>
      <c r="K47" s="432"/>
      <c r="L47" s="432"/>
      <c r="M47" s="432"/>
      <c r="N47" s="370">
        <v>45077</v>
      </c>
      <c r="O47" s="438"/>
      <c r="P47" s="363">
        <v>2000</v>
      </c>
      <c r="Q47" s="364">
        <v>45083</v>
      </c>
      <c r="R47" s="365"/>
      <c r="S47" s="363"/>
      <c r="T47" s="363"/>
      <c r="U47" s="441"/>
      <c r="V47" s="453"/>
      <c r="W47" s="456"/>
      <c r="X47" s="249">
        <v>26</v>
      </c>
    </row>
    <row r="48" spans="1:24" s="291" customFormat="1" x14ac:dyDescent="0.3">
      <c r="A48" s="450"/>
      <c r="B48" s="432"/>
      <c r="C48" s="432"/>
      <c r="D48" s="432"/>
      <c r="E48" s="435"/>
      <c r="F48" s="438"/>
      <c r="G48" s="432"/>
      <c r="H48" s="441"/>
      <c r="I48" s="444"/>
      <c r="J48" s="432"/>
      <c r="K48" s="432"/>
      <c r="L48" s="432"/>
      <c r="M48" s="432"/>
      <c r="N48" s="370">
        <v>45107</v>
      </c>
      <c r="O48" s="438"/>
      <c r="P48" s="363">
        <v>2000</v>
      </c>
      <c r="Q48" s="364">
        <v>45110</v>
      </c>
      <c r="R48" s="365"/>
      <c r="S48" s="363"/>
      <c r="T48" s="363"/>
      <c r="U48" s="441"/>
      <c r="V48" s="453"/>
      <c r="W48" s="456"/>
      <c r="X48" s="291">
        <v>26</v>
      </c>
    </row>
    <row r="49" spans="1:24" s="292" customFormat="1" x14ac:dyDescent="0.3">
      <c r="A49" s="450"/>
      <c r="B49" s="432"/>
      <c r="C49" s="432"/>
      <c r="D49" s="432"/>
      <c r="E49" s="435"/>
      <c r="F49" s="438"/>
      <c r="G49" s="432"/>
      <c r="H49" s="441"/>
      <c r="I49" s="444"/>
      <c r="J49" s="432"/>
      <c r="K49" s="432"/>
      <c r="L49" s="432"/>
      <c r="M49" s="432"/>
      <c r="N49" s="370">
        <v>45138</v>
      </c>
      <c r="O49" s="438"/>
      <c r="P49" s="363">
        <v>2000</v>
      </c>
      <c r="Q49" s="364">
        <v>45142</v>
      </c>
      <c r="R49" s="365"/>
      <c r="S49" s="363"/>
      <c r="T49" s="363"/>
      <c r="U49" s="441"/>
      <c r="V49" s="453"/>
      <c r="W49" s="456"/>
      <c r="X49" s="292">
        <v>26</v>
      </c>
    </row>
    <row r="50" spans="1:24" s="332" customFormat="1" x14ac:dyDescent="0.3">
      <c r="A50" s="450"/>
      <c r="B50" s="432"/>
      <c r="C50" s="432"/>
      <c r="D50" s="432"/>
      <c r="E50" s="435"/>
      <c r="F50" s="438"/>
      <c r="G50" s="432"/>
      <c r="H50" s="441"/>
      <c r="I50" s="444"/>
      <c r="J50" s="432"/>
      <c r="K50" s="432"/>
      <c r="L50" s="432"/>
      <c r="M50" s="432"/>
      <c r="N50" s="370">
        <v>45169</v>
      </c>
      <c r="O50" s="438"/>
      <c r="P50" s="363">
        <v>2000</v>
      </c>
      <c r="Q50" s="364">
        <v>45174</v>
      </c>
      <c r="R50" s="365"/>
      <c r="S50" s="363"/>
      <c r="T50" s="363"/>
      <c r="U50" s="441"/>
      <c r="V50" s="453"/>
      <c r="W50" s="456"/>
      <c r="X50" s="332">
        <v>26</v>
      </c>
    </row>
    <row r="51" spans="1:24" s="349" customFormat="1" x14ac:dyDescent="0.3">
      <c r="A51" s="451"/>
      <c r="B51" s="433"/>
      <c r="C51" s="433"/>
      <c r="D51" s="433"/>
      <c r="E51" s="436"/>
      <c r="F51" s="439"/>
      <c r="G51" s="433"/>
      <c r="H51" s="442"/>
      <c r="I51" s="445"/>
      <c r="J51" s="433"/>
      <c r="K51" s="433"/>
      <c r="L51" s="433"/>
      <c r="M51" s="433"/>
      <c r="N51" s="371">
        <v>45199</v>
      </c>
      <c r="O51" s="439"/>
      <c r="P51" s="366">
        <v>2000</v>
      </c>
      <c r="Q51" s="367">
        <v>45204</v>
      </c>
      <c r="R51" s="368"/>
      <c r="S51" s="366"/>
      <c r="T51" s="366"/>
      <c r="U51" s="442"/>
      <c r="V51" s="454"/>
      <c r="W51" s="457"/>
      <c r="X51" s="349">
        <v>26</v>
      </c>
    </row>
    <row r="52" spans="1:24" s="107" customFormat="1" ht="168.75" customHeight="1" x14ac:dyDescent="0.3">
      <c r="A52" s="449">
        <v>8</v>
      </c>
      <c r="B52" s="431" t="s">
        <v>56</v>
      </c>
      <c r="C52" s="431" t="s">
        <v>146</v>
      </c>
      <c r="D52" s="431" t="s">
        <v>147</v>
      </c>
      <c r="E52" s="458" t="s">
        <v>209</v>
      </c>
      <c r="F52" s="437">
        <v>44952</v>
      </c>
      <c r="G52" s="431" t="s">
        <v>208</v>
      </c>
      <c r="H52" s="440">
        <v>7200</v>
      </c>
      <c r="I52" s="443">
        <f>IF(X52 = 27, H52 + SUM(S52:S54) - SUM(T52:T54) - SUM(P52:P54) - V52,0)</f>
        <v>1800</v>
      </c>
      <c r="J52" s="431" t="s">
        <v>207</v>
      </c>
      <c r="K52" s="431" t="s">
        <v>158</v>
      </c>
      <c r="L52" s="431" t="s">
        <v>146</v>
      </c>
      <c r="M52" s="431"/>
      <c r="N52" s="369">
        <v>45016</v>
      </c>
      <c r="O52" s="437" t="s">
        <v>181</v>
      </c>
      <c r="P52" s="360">
        <v>1800</v>
      </c>
      <c r="Q52" s="361">
        <v>45020</v>
      </c>
      <c r="R52" s="362"/>
      <c r="S52" s="360"/>
      <c r="T52" s="360"/>
      <c r="U52" s="440"/>
      <c r="V52" s="452"/>
      <c r="W52" s="455"/>
      <c r="X52" s="107">
        <v>27</v>
      </c>
    </row>
    <row r="53" spans="1:24" s="291" customFormat="1" x14ac:dyDescent="0.3">
      <c r="A53" s="450"/>
      <c r="B53" s="432"/>
      <c r="C53" s="432"/>
      <c r="D53" s="432"/>
      <c r="E53" s="459"/>
      <c r="F53" s="438"/>
      <c r="G53" s="432"/>
      <c r="H53" s="441"/>
      <c r="I53" s="444"/>
      <c r="J53" s="432"/>
      <c r="K53" s="432"/>
      <c r="L53" s="432"/>
      <c r="M53" s="432"/>
      <c r="N53" s="370">
        <v>45107</v>
      </c>
      <c r="O53" s="438"/>
      <c r="P53" s="363">
        <v>1800</v>
      </c>
      <c r="Q53" s="364">
        <v>45112</v>
      </c>
      <c r="R53" s="365"/>
      <c r="S53" s="363"/>
      <c r="T53" s="363"/>
      <c r="U53" s="441"/>
      <c r="V53" s="453"/>
      <c r="W53" s="456"/>
      <c r="X53" s="291">
        <v>27</v>
      </c>
    </row>
    <row r="54" spans="1:24" s="349" customFormat="1" x14ac:dyDescent="0.3">
      <c r="A54" s="451"/>
      <c r="B54" s="433"/>
      <c r="C54" s="433"/>
      <c r="D54" s="433"/>
      <c r="E54" s="460"/>
      <c r="F54" s="439"/>
      <c r="G54" s="433"/>
      <c r="H54" s="442"/>
      <c r="I54" s="445"/>
      <c r="J54" s="433"/>
      <c r="K54" s="433"/>
      <c r="L54" s="433"/>
      <c r="M54" s="433"/>
      <c r="N54" s="371">
        <v>45199</v>
      </c>
      <c r="O54" s="439"/>
      <c r="P54" s="366">
        <v>1800</v>
      </c>
      <c r="Q54" s="367">
        <v>45203</v>
      </c>
      <c r="R54" s="368"/>
      <c r="S54" s="366"/>
      <c r="T54" s="366"/>
      <c r="U54" s="442"/>
      <c r="V54" s="454"/>
      <c r="W54" s="457"/>
      <c r="X54" s="349">
        <v>27</v>
      </c>
    </row>
    <row r="55" spans="1:24" s="107" customFormat="1" ht="144" x14ac:dyDescent="0.3">
      <c r="A55" s="124">
        <v>9</v>
      </c>
      <c r="B55" s="125" t="s">
        <v>56</v>
      </c>
      <c r="C55" s="125" t="s">
        <v>146</v>
      </c>
      <c r="D55" s="125" t="s">
        <v>147</v>
      </c>
      <c r="E55" s="149">
        <v>6</v>
      </c>
      <c r="F55" s="135">
        <v>44952</v>
      </c>
      <c r="G55" s="125" t="s">
        <v>210</v>
      </c>
      <c r="H55" s="127">
        <v>12000</v>
      </c>
      <c r="I55" s="128">
        <f>IF(X55 = 28, H55 + SUM(S55:S55) - SUM(T55:T55) - SUM(P55:P55) - V55,0)</f>
        <v>0</v>
      </c>
      <c r="J55" s="125" t="s">
        <v>211</v>
      </c>
      <c r="K55" s="125" t="s">
        <v>212</v>
      </c>
      <c r="L55" s="125" t="s">
        <v>146</v>
      </c>
      <c r="M55" s="125"/>
      <c r="N55" s="135">
        <v>44952</v>
      </c>
      <c r="O55" s="135" t="s">
        <v>181</v>
      </c>
      <c r="P55" s="127">
        <v>12000</v>
      </c>
      <c r="Q55" s="126">
        <v>44953</v>
      </c>
      <c r="R55" s="125"/>
      <c r="S55" s="127"/>
      <c r="T55" s="127"/>
      <c r="U55" s="127"/>
      <c r="V55" s="148"/>
      <c r="W55" s="133"/>
      <c r="X55" s="107">
        <v>28</v>
      </c>
    </row>
    <row r="56" spans="1:24" s="107" customFormat="1" x14ac:dyDescent="0.3">
      <c r="A56" s="449">
        <v>10</v>
      </c>
      <c r="B56" s="431" t="s">
        <v>56</v>
      </c>
      <c r="C56" s="431" t="s">
        <v>146</v>
      </c>
      <c r="D56" s="431" t="s">
        <v>147</v>
      </c>
      <c r="E56" s="458" t="s">
        <v>214</v>
      </c>
      <c r="F56" s="437">
        <v>44952</v>
      </c>
      <c r="G56" s="431" t="s">
        <v>213</v>
      </c>
      <c r="H56" s="440">
        <v>212400</v>
      </c>
      <c r="I56" s="443">
        <f>IF(X56 = 29, H56 + SUM(S56:S82) - SUM(T56:T82) - SUM(P56:P82) - V56,0)</f>
        <v>76880</v>
      </c>
      <c r="J56" s="431" t="s">
        <v>167</v>
      </c>
      <c r="K56" s="431" t="s">
        <v>168</v>
      </c>
      <c r="L56" s="431" t="s">
        <v>146</v>
      </c>
      <c r="M56" s="431"/>
      <c r="N56" s="369">
        <v>44957</v>
      </c>
      <c r="O56" s="437" t="s">
        <v>181</v>
      </c>
      <c r="P56" s="360">
        <v>4080</v>
      </c>
      <c r="Q56" s="361">
        <v>44964</v>
      </c>
      <c r="R56" s="362"/>
      <c r="S56" s="360"/>
      <c r="T56" s="360"/>
      <c r="U56" s="440"/>
      <c r="V56" s="452"/>
      <c r="W56" s="455"/>
      <c r="X56" s="107">
        <v>29</v>
      </c>
    </row>
    <row r="57" spans="1:24" s="132" customFormat="1" x14ac:dyDescent="0.3">
      <c r="A57" s="450"/>
      <c r="B57" s="432"/>
      <c r="C57" s="432"/>
      <c r="D57" s="432"/>
      <c r="E57" s="459"/>
      <c r="F57" s="438"/>
      <c r="G57" s="432"/>
      <c r="H57" s="441"/>
      <c r="I57" s="444"/>
      <c r="J57" s="432"/>
      <c r="K57" s="432"/>
      <c r="L57" s="432"/>
      <c r="M57" s="432"/>
      <c r="N57" s="370">
        <v>44957</v>
      </c>
      <c r="O57" s="438"/>
      <c r="P57" s="363">
        <v>4760</v>
      </c>
      <c r="Q57" s="364">
        <v>44964</v>
      </c>
      <c r="R57" s="365"/>
      <c r="S57" s="363"/>
      <c r="T57" s="363"/>
      <c r="U57" s="441"/>
      <c r="V57" s="453"/>
      <c r="W57" s="456"/>
      <c r="X57" s="132">
        <v>29</v>
      </c>
    </row>
    <row r="58" spans="1:24" s="132" customFormat="1" x14ac:dyDescent="0.3">
      <c r="A58" s="450"/>
      <c r="B58" s="432"/>
      <c r="C58" s="432"/>
      <c r="D58" s="432"/>
      <c r="E58" s="459"/>
      <c r="F58" s="438"/>
      <c r="G58" s="432"/>
      <c r="H58" s="441"/>
      <c r="I58" s="444"/>
      <c r="J58" s="432"/>
      <c r="K58" s="432"/>
      <c r="L58" s="432"/>
      <c r="M58" s="432"/>
      <c r="N58" s="370">
        <v>44957</v>
      </c>
      <c r="O58" s="438"/>
      <c r="P58" s="363">
        <v>6720</v>
      </c>
      <c r="Q58" s="364">
        <v>44964</v>
      </c>
      <c r="R58" s="365"/>
      <c r="S58" s="363"/>
      <c r="T58" s="363"/>
      <c r="U58" s="441"/>
      <c r="V58" s="453"/>
      <c r="W58" s="456"/>
      <c r="X58" s="132">
        <v>29</v>
      </c>
    </row>
    <row r="59" spans="1:24" s="134" customFormat="1" x14ac:dyDescent="0.3">
      <c r="A59" s="450"/>
      <c r="B59" s="432"/>
      <c r="C59" s="432"/>
      <c r="D59" s="432"/>
      <c r="E59" s="459"/>
      <c r="F59" s="438"/>
      <c r="G59" s="432"/>
      <c r="H59" s="441"/>
      <c r="I59" s="444"/>
      <c r="J59" s="432"/>
      <c r="K59" s="432"/>
      <c r="L59" s="432"/>
      <c r="M59" s="432"/>
      <c r="N59" s="370">
        <v>44985</v>
      </c>
      <c r="O59" s="438"/>
      <c r="P59" s="363">
        <v>3960</v>
      </c>
      <c r="Q59" s="364">
        <v>44995</v>
      </c>
      <c r="R59" s="365"/>
      <c r="S59" s="363"/>
      <c r="T59" s="363"/>
      <c r="U59" s="441"/>
      <c r="V59" s="453"/>
      <c r="W59" s="456"/>
      <c r="X59" s="134">
        <v>29</v>
      </c>
    </row>
    <row r="60" spans="1:24" s="134" customFormat="1" x14ac:dyDescent="0.3">
      <c r="A60" s="450"/>
      <c r="B60" s="432"/>
      <c r="C60" s="432"/>
      <c r="D60" s="432"/>
      <c r="E60" s="459"/>
      <c r="F60" s="438"/>
      <c r="G60" s="432"/>
      <c r="H60" s="441"/>
      <c r="I60" s="444"/>
      <c r="J60" s="432"/>
      <c r="K60" s="432"/>
      <c r="L60" s="432"/>
      <c r="M60" s="432"/>
      <c r="N60" s="370">
        <v>44985</v>
      </c>
      <c r="O60" s="438"/>
      <c r="P60" s="363">
        <v>4620</v>
      </c>
      <c r="Q60" s="364">
        <v>44995</v>
      </c>
      <c r="R60" s="365"/>
      <c r="S60" s="363"/>
      <c r="T60" s="363"/>
      <c r="U60" s="441"/>
      <c r="V60" s="453"/>
      <c r="W60" s="456"/>
      <c r="X60" s="134">
        <v>29</v>
      </c>
    </row>
    <row r="61" spans="1:24" s="134" customFormat="1" x14ac:dyDescent="0.3">
      <c r="A61" s="450"/>
      <c r="B61" s="432"/>
      <c r="C61" s="432"/>
      <c r="D61" s="432"/>
      <c r="E61" s="459"/>
      <c r="F61" s="438"/>
      <c r="G61" s="432"/>
      <c r="H61" s="441"/>
      <c r="I61" s="444"/>
      <c r="J61" s="432"/>
      <c r="K61" s="432"/>
      <c r="L61" s="432"/>
      <c r="M61" s="432"/>
      <c r="N61" s="370">
        <v>44985</v>
      </c>
      <c r="O61" s="438"/>
      <c r="P61" s="363">
        <v>5760</v>
      </c>
      <c r="Q61" s="364">
        <v>44995</v>
      </c>
      <c r="R61" s="365"/>
      <c r="S61" s="363"/>
      <c r="T61" s="363"/>
      <c r="U61" s="441"/>
      <c r="V61" s="453"/>
      <c r="W61" s="456"/>
      <c r="X61" s="134">
        <v>29</v>
      </c>
    </row>
    <row r="62" spans="1:24" s="176" customFormat="1" x14ac:dyDescent="0.3">
      <c r="A62" s="450"/>
      <c r="B62" s="432"/>
      <c r="C62" s="432"/>
      <c r="D62" s="432"/>
      <c r="E62" s="459"/>
      <c r="F62" s="438"/>
      <c r="G62" s="432"/>
      <c r="H62" s="441"/>
      <c r="I62" s="444"/>
      <c r="J62" s="432"/>
      <c r="K62" s="432"/>
      <c r="L62" s="432"/>
      <c r="M62" s="432"/>
      <c r="N62" s="370">
        <v>45016</v>
      </c>
      <c r="O62" s="438"/>
      <c r="P62" s="363">
        <v>5160</v>
      </c>
      <c r="Q62" s="364">
        <v>45027</v>
      </c>
      <c r="R62" s="365"/>
      <c r="S62" s="363"/>
      <c r="T62" s="363"/>
      <c r="U62" s="441"/>
      <c r="V62" s="453"/>
      <c r="W62" s="456"/>
      <c r="X62" s="176">
        <v>29</v>
      </c>
    </row>
    <row r="63" spans="1:24" s="176" customFormat="1" x14ac:dyDescent="0.3">
      <c r="A63" s="450"/>
      <c r="B63" s="432"/>
      <c r="C63" s="432"/>
      <c r="D63" s="432"/>
      <c r="E63" s="459"/>
      <c r="F63" s="438"/>
      <c r="G63" s="432"/>
      <c r="H63" s="441"/>
      <c r="I63" s="444"/>
      <c r="J63" s="432"/>
      <c r="K63" s="432"/>
      <c r="L63" s="432"/>
      <c r="M63" s="432"/>
      <c r="N63" s="370">
        <v>45016</v>
      </c>
      <c r="O63" s="438"/>
      <c r="P63" s="363">
        <v>6020</v>
      </c>
      <c r="Q63" s="364">
        <v>45027</v>
      </c>
      <c r="R63" s="365"/>
      <c r="S63" s="363"/>
      <c r="T63" s="363"/>
      <c r="U63" s="441"/>
      <c r="V63" s="453"/>
      <c r="W63" s="456"/>
      <c r="X63" s="176">
        <v>29</v>
      </c>
    </row>
    <row r="64" spans="1:24" s="176" customFormat="1" x14ac:dyDescent="0.3">
      <c r="A64" s="450"/>
      <c r="B64" s="432"/>
      <c r="C64" s="432"/>
      <c r="D64" s="432"/>
      <c r="E64" s="459"/>
      <c r="F64" s="438"/>
      <c r="G64" s="432"/>
      <c r="H64" s="441"/>
      <c r="I64" s="444"/>
      <c r="J64" s="432"/>
      <c r="K64" s="432"/>
      <c r="L64" s="432"/>
      <c r="M64" s="432"/>
      <c r="N64" s="370">
        <v>45016</v>
      </c>
      <c r="O64" s="438"/>
      <c r="P64" s="363">
        <v>7440</v>
      </c>
      <c r="Q64" s="364">
        <v>45027</v>
      </c>
      <c r="R64" s="365"/>
      <c r="S64" s="363"/>
      <c r="T64" s="363"/>
      <c r="U64" s="441"/>
      <c r="V64" s="453"/>
      <c r="W64" s="456"/>
      <c r="X64" s="176">
        <v>29</v>
      </c>
    </row>
    <row r="65" spans="1:24" s="209" customFormat="1" x14ac:dyDescent="0.3">
      <c r="A65" s="450"/>
      <c r="B65" s="432"/>
      <c r="C65" s="432"/>
      <c r="D65" s="432"/>
      <c r="E65" s="459"/>
      <c r="F65" s="438"/>
      <c r="G65" s="432"/>
      <c r="H65" s="441"/>
      <c r="I65" s="444"/>
      <c r="J65" s="432"/>
      <c r="K65" s="432"/>
      <c r="L65" s="432"/>
      <c r="M65" s="432"/>
      <c r="N65" s="370">
        <v>45046</v>
      </c>
      <c r="O65" s="438"/>
      <c r="P65" s="363">
        <v>5040</v>
      </c>
      <c r="Q65" s="364">
        <v>45061</v>
      </c>
      <c r="R65" s="365"/>
      <c r="S65" s="363"/>
      <c r="T65" s="363"/>
      <c r="U65" s="441"/>
      <c r="V65" s="453"/>
      <c r="W65" s="456"/>
      <c r="X65" s="209">
        <v>29</v>
      </c>
    </row>
    <row r="66" spans="1:24" s="209" customFormat="1" x14ac:dyDescent="0.3">
      <c r="A66" s="450"/>
      <c r="B66" s="432"/>
      <c r="C66" s="432"/>
      <c r="D66" s="432"/>
      <c r="E66" s="459"/>
      <c r="F66" s="438"/>
      <c r="G66" s="432"/>
      <c r="H66" s="441"/>
      <c r="I66" s="444"/>
      <c r="J66" s="432"/>
      <c r="K66" s="432"/>
      <c r="L66" s="432"/>
      <c r="M66" s="432"/>
      <c r="N66" s="370">
        <v>45046</v>
      </c>
      <c r="O66" s="438"/>
      <c r="P66" s="363">
        <v>5880</v>
      </c>
      <c r="Q66" s="364">
        <v>45061</v>
      </c>
      <c r="R66" s="365"/>
      <c r="S66" s="363"/>
      <c r="T66" s="363"/>
      <c r="U66" s="441"/>
      <c r="V66" s="453"/>
      <c r="W66" s="456"/>
      <c r="X66" s="209">
        <v>29</v>
      </c>
    </row>
    <row r="67" spans="1:24" s="209" customFormat="1" x14ac:dyDescent="0.3">
      <c r="A67" s="450"/>
      <c r="B67" s="432"/>
      <c r="C67" s="432"/>
      <c r="D67" s="432"/>
      <c r="E67" s="459"/>
      <c r="F67" s="438"/>
      <c r="G67" s="432"/>
      <c r="H67" s="441"/>
      <c r="I67" s="444"/>
      <c r="J67" s="432"/>
      <c r="K67" s="432"/>
      <c r="L67" s="432"/>
      <c r="M67" s="432"/>
      <c r="N67" s="370">
        <v>45046</v>
      </c>
      <c r="O67" s="438"/>
      <c r="P67" s="363">
        <v>7200</v>
      </c>
      <c r="Q67" s="364">
        <v>45061</v>
      </c>
      <c r="R67" s="365"/>
      <c r="S67" s="363"/>
      <c r="T67" s="363"/>
      <c r="U67" s="441"/>
      <c r="V67" s="453"/>
      <c r="W67" s="456"/>
      <c r="X67" s="209">
        <v>29</v>
      </c>
    </row>
    <row r="68" spans="1:24" s="249" customFormat="1" x14ac:dyDescent="0.3">
      <c r="A68" s="450"/>
      <c r="B68" s="432"/>
      <c r="C68" s="432"/>
      <c r="D68" s="432"/>
      <c r="E68" s="459"/>
      <c r="F68" s="438"/>
      <c r="G68" s="432"/>
      <c r="H68" s="441"/>
      <c r="I68" s="444"/>
      <c r="J68" s="432"/>
      <c r="K68" s="432"/>
      <c r="L68" s="432"/>
      <c r="M68" s="432"/>
      <c r="N68" s="370">
        <v>45077</v>
      </c>
      <c r="O68" s="438"/>
      <c r="P68" s="363">
        <v>4440</v>
      </c>
      <c r="Q68" s="364">
        <v>45082</v>
      </c>
      <c r="R68" s="365"/>
      <c r="S68" s="363"/>
      <c r="T68" s="363"/>
      <c r="U68" s="441"/>
      <c r="V68" s="453"/>
      <c r="W68" s="456"/>
      <c r="X68" s="249">
        <v>29</v>
      </c>
    </row>
    <row r="69" spans="1:24" s="249" customFormat="1" x14ac:dyDescent="0.3">
      <c r="A69" s="450"/>
      <c r="B69" s="432"/>
      <c r="C69" s="432"/>
      <c r="D69" s="432"/>
      <c r="E69" s="459"/>
      <c r="F69" s="438"/>
      <c r="G69" s="432"/>
      <c r="H69" s="441"/>
      <c r="I69" s="444"/>
      <c r="J69" s="432"/>
      <c r="K69" s="432"/>
      <c r="L69" s="432"/>
      <c r="M69" s="432"/>
      <c r="N69" s="370">
        <v>45077</v>
      </c>
      <c r="O69" s="438"/>
      <c r="P69" s="363">
        <v>5180</v>
      </c>
      <c r="Q69" s="364">
        <v>45082</v>
      </c>
      <c r="R69" s="365"/>
      <c r="S69" s="363"/>
      <c r="T69" s="363"/>
      <c r="U69" s="441"/>
      <c r="V69" s="453"/>
      <c r="W69" s="456"/>
      <c r="X69" s="249">
        <v>29</v>
      </c>
    </row>
    <row r="70" spans="1:24" s="249" customFormat="1" x14ac:dyDescent="0.3">
      <c r="A70" s="450"/>
      <c r="B70" s="432"/>
      <c r="C70" s="432"/>
      <c r="D70" s="432"/>
      <c r="E70" s="459"/>
      <c r="F70" s="438"/>
      <c r="G70" s="432"/>
      <c r="H70" s="441"/>
      <c r="I70" s="444"/>
      <c r="J70" s="432"/>
      <c r="K70" s="432"/>
      <c r="L70" s="432"/>
      <c r="M70" s="432"/>
      <c r="N70" s="370">
        <v>45077</v>
      </c>
      <c r="O70" s="438"/>
      <c r="P70" s="363">
        <v>7440</v>
      </c>
      <c r="Q70" s="364">
        <v>45082</v>
      </c>
      <c r="R70" s="365"/>
      <c r="S70" s="363"/>
      <c r="T70" s="363"/>
      <c r="U70" s="441"/>
      <c r="V70" s="453"/>
      <c r="W70" s="456"/>
      <c r="X70" s="249">
        <v>29</v>
      </c>
    </row>
    <row r="71" spans="1:24" s="291" customFormat="1" x14ac:dyDescent="0.3">
      <c r="A71" s="450"/>
      <c r="B71" s="432"/>
      <c r="C71" s="432"/>
      <c r="D71" s="432"/>
      <c r="E71" s="459"/>
      <c r="F71" s="438"/>
      <c r="G71" s="432"/>
      <c r="H71" s="441"/>
      <c r="I71" s="444"/>
      <c r="J71" s="432"/>
      <c r="K71" s="432"/>
      <c r="L71" s="432"/>
      <c r="M71" s="432"/>
      <c r="N71" s="370">
        <v>45107</v>
      </c>
      <c r="O71" s="438"/>
      <c r="P71" s="363">
        <v>3360</v>
      </c>
      <c r="Q71" s="364">
        <v>45118</v>
      </c>
      <c r="R71" s="365"/>
      <c r="S71" s="363"/>
      <c r="T71" s="363"/>
      <c r="U71" s="441"/>
      <c r="V71" s="453"/>
      <c r="W71" s="456"/>
      <c r="X71" s="291">
        <v>29</v>
      </c>
    </row>
    <row r="72" spans="1:24" s="291" customFormat="1" x14ac:dyDescent="0.3">
      <c r="A72" s="450"/>
      <c r="B72" s="432"/>
      <c r="C72" s="432"/>
      <c r="D72" s="432"/>
      <c r="E72" s="459"/>
      <c r="F72" s="438"/>
      <c r="G72" s="432"/>
      <c r="H72" s="441"/>
      <c r="I72" s="444"/>
      <c r="J72" s="432"/>
      <c r="K72" s="432"/>
      <c r="L72" s="432"/>
      <c r="M72" s="432"/>
      <c r="N72" s="370">
        <v>45107</v>
      </c>
      <c r="O72" s="438"/>
      <c r="P72" s="363">
        <v>3920</v>
      </c>
      <c r="Q72" s="364">
        <v>45118</v>
      </c>
      <c r="R72" s="365"/>
      <c r="S72" s="363"/>
      <c r="T72" s="363"/>
      <c r="U72" s="441"/>
      <c r="V72" s="453"/>
      <c r="W72" s="456"/>
      <c r="X72" s="291">
        <v>29</v>
      </c>
    </row>
    <row r="73" spans="1:24" s="291" customFormat="1" x14ac:dyDescent="0.3">
      <c r="A73" s="450"/>
      <c r="B73" s="432"/>
      <c r="C73" s="432"/>
      <c r="D73" s="432"/>
      <c r="E73" s="459"/>
      <c r="F73" s="438"/>
      <c r="G73" s="432"/>
      <c r="H73" s="441"/>
      <c r="I73" s="444"/>
      <c r="J73" s="432"/>
      <c r="K73" s="432"/>
      <c r="L73" s="432"/>
      <c r="M73" s="432"/>
      <c r="N73" s="370">
        <v>45107</v>
      </c>
      <c r="O73" s="438"/>
      <c r="P73" s="363">
        <v>6720</v>
      </c>
      <c r="Q73" s="364">
        <v>45118</v>
      </c>
      <c r="R73" s="365"/>
      <c r="S73" s="363"/>
      <c r="T73" s="363"/>
      <c r="U73" s="441"/>
      <c r="V73" s="453"/>
      <c r="W73" s="456"/>
      <c r="X73" s="291">
        <v>29</v>
      </c>
    </row>
    <row r="74" spans="1:24" s="292" customFormat="1" x14ac:dyDescent="0.3">
      <c r="A74" s="450"/>
      <c r="B74" s="432"/>
      <c r="C74" s="432"/>
      <c r="D74" s="432"/>
      <c r="E74" s="459"/>
      <c r="F74" s="438"/>
      <c r="G74" s="432"/>
      <c r="H74" s="441"/>
      <c r="I74" s="444"/>
      <c r="J74" s="432"/>
      <c r="K74" s="432"/>
      <c r="L74" s="432"/>
      <c r="M74" s="432"/>
      <c r="N74" s="370">
        <v>45138</v>
      </c>
      <c r="O74" s="438"/>
      <c r="P74" s="363">
        <v>960</v>
      </c>
      <c r="Q74" s="364">
        <v>45148</v>
      </c>
      <c r="R74" s="365"/>
      <c r="S74" s="363"/>
      <c r="T74" s="363"/>
      <c r="U74" s="441"/>
      <c r="V74" s="453"/>
      <c r="W74" s="456"/>
      <c r="X74" s="292">
        <v>29</v>
      </c>
    </row>
    <row r="75" spans="1:24" s="292" customFormat="1" x14ac:dyDescent="0.3">
      <c r="A75" s="450"/>
      <c r="B75" s="432"/>
      <c r="C75" s="432"/>
      <c r="D75" s="432"/>
      <c r="E75" s="459"/>
      <c r="F75" s="438"/>
      <c r="G75" s="432"/>
      <c r="H75" s="441"/>
      <c r="I75" s="444"/>
      <c r="J75" s="432"/>
      <c r="K75" s="432"/>
      <c r="L75" s="432"/>
      <c r="M75" s="432"/>
      <c r="N75" s="370">
        <v>45138</v>
      </c>
      <c r="O75" s="438"/>
      <c r="P75" s="363">
        <v>1120</v>
      </c>
      <c r="Q75" s="364">
        <v>45148</v>
      </c>
      <c r="R75" s="365"/>
      <c r="S75" s="363"/>
      <c r="T75" s="363"/>
      <c r="U75" s="441"/>
      <c r="V75" s="453"/>
      <c r="W75" s="456"/>
      <c r="X75" s="292">
        <v>29</v>
      </c>
    </row>
    <row r="76" spans="1:24" s="292" customFormat="1" x14ac:dyDescent="0.3">
      <c r="A76" s="450"/>
      <c r="B76" s="432"/>
      <c r="C76" s="432"/>
      <c r="D76" s="432"/>
      <c r="E76" s="459"/>
      <c r="F76" s="438"/>
      <c r="G76" s="432"/>
      <c r="H76" s="441"/>
      <c r="I76" s="444"/>
      <c r="J76" s="432"/>
      <c r="K76" s="432"/>
      <c r="L76" s="432"/>
      <c r="M76" s="432"/>
      <c r="N76" s="370">
        <v>45138</v>
      </c>
      <c r="O76" s="438"/>
      <c r="P76" s="363">
        <v>7440</v>
      </c>
      <c r="Q76" s="364">
        <v>45148</v>
      </c>
      <c r="R76" s="365"/>
      <c r="S76" s="363"/>
      <c r="T76" s="363"/>
      <c r="U76" s="441"/>
      <c r="V76" s="453"/>
      <c r="W76" s="456"/>
      <c r="X76" s="292">
        <v>29</v>
      </c>
    </row>
    <row r="77" spans="1:24" s="332" customFormat="1" x14ac:dyDescent="0.3">
      <c r="A77" s="450"/>
      <c r="B77" s="432"/>
      <c r="C77" s="432"/>
      <c r="D77" s="432"/>
      <c r="E77" s="459"/>
      <c r="F77" s="438"/>
      <c r="G77" s="432"/>
      <c r="H77" s="441"/>
      <c r="I77" s="444"/>
      <c r="J77" s="432"/>
      <c r="K77" s="432"/>
      <c r="L77" s="432"/>
      <c r="M77" s="432"/>
      <c r="N77" s="370">
        <v>45169</v>
      </c>
      <c r="O77" s="438"/>
      <c r="P77" s="363">
        <v>960</v>
      </c>
      <c r="Q77" s="364">
        <v>45175</v>
      </c>
      <c r="R77" s="365"/>
      <c r="S77" s="363"/>
      <c r="T77" s="363"/>
      <c r="U77" s="441"/>
      <c r="V77" s="453"/>
      <c r="W77" s="456"/>
      <c r="X77" s="332">
        <v>29</v>
      </c>
    </row>
    <row r="78" spans="1:24" s="332" customFormat="1" x14ac:dyDescent="0.3">
      <c r="A78" s="450"/>
      <c r="B78" s="432"/>
      <c r="C78" s="432"/>
      <c r="D78" s="432"/>
      <c r="E78" s="459"/>
      <c r="F78" s="438"/>
      <c r="G78" s="432"/>
      <c r="H78" s="441"/>
      <c r="I78" s="444"/>
      <c r="J78" s="432"/>
      <c r="K78" s="432"/>
      <c r="L78" s="432"/>
      <c r="M78" s="432"/>
      <c r="N78" s="370">
        <v>45169</v>
      </c>
      <c r="O78" s="438"/>
      <c r="P78" s="363">
        <v>1120</v>
      </c>
      <c r="Q78" s="364">
        <v>45175</v>
      </c>
      <c r="R78" s="365"/>
      <c r="S78" s="363"/>
      <c r="T78" s="363"/>
      <c r="U78" s="441"/>
      <c r="V78" s="453"/>
      <c r="W78" s="456"/>
      <c r="X78" s="332">
        <v>29</v>
      </c>
    </row>
    <row r="79" spans="1:24" s="332" customFormat="1" x14ac:dyDescent="0.3">
      <c r="A79" s="450"/>
      <c r="B79" s="432"/>
      <c r="C79" s="432"/>
      <c r="D79" s="432"/>
      <c r="E79" s="459"/>
      <c r="F79" s="438"/>
      <c r="G79" s="432"/>
      <c r="H79" s="441"/>
      <c r="I79" s="444"/>
      <c r="J79" s="432"/>
      <c r="K79" s="432"/>
      <c r="L79" s="432"/>
      <c r="M79" s="432"/>
      <c r="N79" s="370">
        <v>45169</v>
      </c>
      <c r="O79" s="438"/>
      <c r="P79" s="363">
        <v>7440</v>
      </c>
      <c r="Q79" s="364">
        <v>45175</v>
      </c>
      <c r="R79" s="365"/>
      <c r="S79" s="363"/>
      <c r="T79" s="363"/>
      <c r="U79" s="441"/>
      <c r="V79" s="453"/>
      <c r="W79" s="456"/>
      <c r="X79" s="332">
        <v>29</v>
      </c>
    </row>
    <row r="80" spans="1:24" s="349" customFormat="1" x14ac:dyDescent="0.3">
      <c r="A80" s="450"/>
      <c r="B80" s="432"/>
      <c r="C80" s="432"/>
      <c r="D80" s="432"/>
      <c r="E80" s="459"/>
      <c r="F80" s="438"/>
      <c r="G80" s="432"/>
      <c r="H80" s="441"/>
      <c r="I80" s="444"/>
      <c r="J80" s="432"/>
      <c r="K80" s="432"/>
      <c r="L80" s="432"/>
      <c r="M80" s="432"/>
      <c r="N80" s="370">
        <v>45199</v>
      </c>
      <c r="O80" s="438"/>
      <c r="P80" s="363">
        <v>5400</v>
      </c>
      <c r="Q80" s="364">
        <v>45205</v>
      </c>
      <c r="R80" s="365"/>
      <c r="S80" s="363"/>
      <c r="T80" s="363"/>
      <c r="U80" s="441"/>
      <c r="V80" s="453"/>
      <c r="W80" s="456"/>
      <c r="X80" s="349">
        <v>29</v>
      </c>
    </row>
    <row r="81" spans="1:24" s="349" customFormat="1" x14ac:dyDescent="0.3">
      <c r="A81" s="450"/>
      <c r="B81" s="432"/>
      <c r="C81" s="432"/>
      <c r="D81" s="432"/>
      <c r="E81" s="459"/>
      <c r="F81" s="438"/>
      <c r="G81" s="432"/>
      <c r="H81" s="441"/>
      <c r="I81" s="444"/>
      <c r="J81" s="432"/>
      <c r="K81" s="432"/>
      <c r="L81" s="432"/>
      <c r="M81" s="432"/>
      <c r="N81" s="370">
        <v>45199</v>
      </c>
      <c r="O81" s="438"/>
      <c r="P81" s="363">
        <v>6300</v>
      </c>
      <c r="Q81" s="364">
        <v>45205</v>
      </c>
      <c r="R81" s="365"/>
      <c r="S81" s="363"/>
      <c r="T81" s="363"/>
      <c r="U81" s="441"/>
      <c r="V81" s="453"/>
      <c r="W81" s="456"/>
      <c r="X81" s="349">
        <v>29</v>
      </c>
    </row>
    <row r="82" spans="1:24" s="349" customFormat="1" x14ac:dyDescent="0.3">
      <c r="A82" s="451"/>
      <c r="B82" s="433"/>
      <c r="C82" s="433"/>
      <c r="D82" s="433"/>
      <c r="E82" s="460"/>
      <c r="F82" s="439"/>
      <c r="G82" s="433"/>
      <c r="H82" s="442"/>
      <c r="I82" s="445"/>
      <c r="J82" s="433"/>
      <c r="K82" s="433"/>
      <c r="L82" s="433"/>
      <c r="M82" s="433"/>
      <c r="N82" s="371">
        <v>45199</v>
      </c>
      <c r="O82" s="439"/>
      <c r="P82" s="366">
        <v>7080</v>
      </c>
      <c r="Q82" s="367">
        <v>45205</v>
      </c>
      <c r="R82" s="368"/>
      <c r="S82" s="366"/>
      <c r="T82" s="366"/>
      <c r="U82" s="442"/>
      <c r="V82" s="454"/>
      <c r="W82" s="457"/>
      <c r="X82" s="349">
        <v>29</v>
      </c>
    </row>
    <row r="83" spans="1:24" s="107" customFormat="1" ht="144" x14ac:dyDescent="0.3">
      <c r="A83" s="124">
        <v>11</v>
      </c>
      <c r="B83" s="125" t="s">
        <v>56</v>
      </c>
      <c r="C83" s="125" t="s">
        <v>146</v>
      </c>
      <c r="D83" s="125" t="s">
        <v>147</v>
      </c>
      <c r="E83" s="149">
        <v>17371</v>
      </c>
      <c r="F83" s="135">
        <v>44959</v>
      </c>
      <c r="G83" s="125" t="s">
        <v>215</v>
      </c>
      <c r="H83" s="127">
        <v>2800</v>
      </c>
      <c r="I83" s="128">
        <f>IF(X83 = 30, H83 + SUM(S83:S83) - SUM(T83:T83) - SUM(P83:P83) - V83,0)</f>
        <v>0</v>
      </c>
      <c r="J83" s="125" t="s">
        <v>216</v>
      </c>
      <c r="K83" s="125" t="s">
        <v>217</v>
      </c>
      <c r="L83" s="125" t="s">
        <v>146</v>
      </c>
      <c r="M83" s="125"/>
      <c r="N83" s="135">
        <v>44970</v>
      </c>
      <c r="O83" s="135" t="s">
        <v>181</v>
      </c>
      <c r="P83" s="127">
        <v>2800</v>
      </c>
      <c r="Q83" s="126">
        <v>44971</v>
      </c>
      <c r="R83" s="125"/>
      <c r="S83" s="127"/>
      <c r="T83" s="127"/>
      <c r="U83" s="127"/>
      <c r="V83" s="148"/>
      <c r="W83" s="133"/>
      <c r="X83" s="107">
        <v>30</v>
      </c>
    </row>
    <row r="84" spans="1:24" s="107" customFormat="1" ht="144" x14ac:dyDescent="0.3">
      <c r="A84" s="124">
        <v>12</v>
      </c>
      <c r="B84" s="125" t="s">
        <v>56</v>
      </c>
      <c r="C84" s="125" t="s">
        <v>146</v>
      </c>
      <c r="D84" s="125" t="s">
        <v>147</v>
      </c>
      <c r="E84" s="149">
        <v>45026</v>
      </c>
      <c r="F84" s="135">
        <v>44959</v>
      </c>
      <c r="G84" s="125" t="s">
        <v>218</v>
      </c>
      <c r="H84" s="127">
        <v>9000</v>
      </c>
      <c r="I84" s="128">
        <f>IF(X84 = 31, H84 + SUM(S84:S84) - SUM(T84:T84) - SUM(P84:P84) - V84,0)</f>
        <v>0</v>
      </c>
      <c r="J84" s="125" t="s">
        <v>219</v>
      </c>
      <c r="K84" s="125" t="s">
        <v>220</v>
      </c>
      <c r="L84" s="125" t="s">
        <v>146</v>
      </c>
      <c r="M84" s="125"/>
      <c r="N84" s="135">
        <v>44978</v>
      </c>
      <c r="O84" s="135" t="s">
        <v>181</v>
      </c>
      <c r="P84" s="127">
        <v>9000</v>
      </c>
      <c r="Q84" s="126">
        <v>44978</v>
      </c>
      <c r="R84" s="125"/>
      <c r="S84" s="127"/>
      <c r="T84" s="127"/>
      <c r="U84" s="127"/>
      <c r="V84" s="148"/>
      <c r="W84" s="133"/>
      <c r="X84" s="107">
        <v>31</v>
      </c>
    </row>
    <row r="85" spans="1:24" s="107" customFormat="1" ht="144" x14ac:dyDescent="0.3">
      <c r="A85" s="124">
        <v>13</v>
      </c>
      <c r="B85" s="125" t="s">
        <v>56</v>
      </c>
      <c r="C85" s="125" t="s">
        <v>146</v>
      </c>
      <c r="D85" s="125" t="s">
        <v>147</v>
      </c>
      <c r="E85" s="149">
        <v>40</v>
      </c>
      <c r="F85" s="135">
        <v>44972</v>
      </c>
      <c r="G85" s="125" t="s">
        <v>223</v>
      </c>
      <c r="H85" s="127">
        <v>6900</v>
      </c>
      <c r="I85" s="128">
        <f>IF(X85 = 32, H85 + SUM(S85:S85) - SUM(T85:T85) - SUM(P85:P85) - V85,0)</f>
        <v>0</v>
      </c>
      <c r="J85" s="125" t="s">
        <v>222</v>
      </c>
      <c r="K85" s="125" t="s">
        <v>221</v>
      </c>
      <c r="L85" s="125" t="s">
        <v>146</v>
      </c>
      <c r="M85" s="125"/>
      <c r="N85" s="135">
        <v>44979</v>
      </c>
      <c r="O85" s="135" t="s">
        <v>181</v>
      </c>
      <c r="P85" s="127">
        <v>6900</v>
      </c>
      <c r="Q85" s="126">
        <v>44979</v>
      </c>
      <c r="R85" s="125"/>
      <c r="S85" s="127"/>
      <c r="T85" s="127"/>
      <c r="U85" s="127"/>
      <c r="V85" s="148"/>
      <c r="W85" s="133"/>
      <c r="X85" s="107">
        <v>32</v>
      </c>
    </row>
    <row r="86" spans="1:24" s="107" customFormat="1" ht="144" x14ac:dyDescent="0.3">
      <c r="A86" s="151">
        <v>14</v>
      </c>
      <c r="B86" s="152" t="s">
        <v>56</v>
      </c>
      <c r="C86" s="152" t="s">
        <v>146</v>
      </c>
      <c r="D86" s="152" t="s">
        <v>147</v>
      </c>
      <c r="E86" s="161" t="s">
        <v>230</v>
      </c>
      <c r="F86" s="162">
        <v>44951</v>
      </c>
      <c r="G86" s="152" t="s">
        <v>231</v>
      </c>
      <c r="H86" s="154">
        <v>10000</v>
      </c>
      <c r="I86" s="155">
        <f>IF(X86 = 33, H86 + SUM(S86:S86) - SUM(T86:T86) - SUM(P86:P86) - V86,0)</f>
        <v>0</v>
      </c>
      <c r="J86" s="152" t="s">
        <v>232</v>
      </c>
      <c r="K86" s="152" t="s">
        <v>233</v>
      </c>
      <c r="L86" s="152" t="s">
        <v>146</v>
      </c>
      <c r="M86" s="152"/>
      <c r="N86" s="162"/>
      <c r="O86" s="162" t="s">
        <v>181</v>
      </c>
      <c r="P86" s="154">
        <v>10000</v>
      </c>
      <c r="Q86" s="153">
        <v>45002</v>
      </c>
      <c r="R86" s="152"/>
      <c r="S86" s="154"/>
      <c r="T86" s="154"/>
      <c r="U86" s="154"/>
      <c r="V86" s="156"/>
      <c r="W86" s="157"/>
      <c r="X86" s="107">
        <v>33</v>
      </c>
    </row>
    <row r="87" spans="1:24" s="107" customFormat="1" ht="144" x14ac:dyDescent="0.3">
      <c r="A87" s="151">
        <v>15</v>
      </c>
      <c r="B87" s="152" t="s">
        <v>56</v>
      </c>
      <c r="C87" s="152" t="s">
        <v>146</v>
      </c>
      <c r="D87" s="152" t="s">
        <v>147</v>
      </c>
      <c r="E87" s="161">
        <v>49</v>
      </c>
      <c r="F87" s="162">
        <v>44994</v>
      </c>
      <c r="G87" s="152" t="s">
        <v>238</v>
      </c>
      <c r="H87" s="154">
        <v>9200</v>
      </c>
      <c r="I87" s="155">
        <f>IF(X87 = 34, H87 + SUM(S87:S87) - SUM(T87:T87) - SUM(P87:P87) - V87,0)</f>
        <v>0</v>
      </c>
      <c r="J87" s="125" t="s">
        <v>222</v>
      </c>
      <c r="K87" s="125" t="s">
        <v>221</v>
      </c>
      <c r="L87" s="152" t="s">
        <v>146</v>
      </c>
      <c r="M87" s="152"/>
      <c r="N87" s="162"/>
      <c r="O87" s="162" t="s">
        <v>181</v>
      </c>
      <c r="P87" s="154">
        <v>9200</v>
      </c>
      <c r="Q87" s="153">
        <v>45002</v>
      </c>
      <c r="R87" s="152"/>
      <c r="S87" s="154"/>
      <c r="T87" s="154"/>
      <c r="U87" s="154"/>
      <c r="V87" s="156"/>
      <c r="W87" s="157"/>
      <c r="X87" s="107">
        <v>34</v>
      </c>
    </row>
    <row r="88" spans="1:24" s="107" customFormat="1" ht="75" customHeight="1" x14ac:dyDescent="0.3">
      <c r="A88" s="548">
        <v>16</v>
      </c>
      <c r="B88" s="475" t="s">
        <v>56</v>
      </c>
      <c r="C88" s="475" t="s">
        <v>146</v>
      </c>
      <c r="D88" s="475" t="s">
        <v>147</v>
      </c>
      <c r="E88" s="558" t="s">
        <v>239</v>
      </c>
      <c r="F88" s="550">
        <v>45000</v>
      </c>
      <c r="G88" s="475" t="s">
        <v>240</v>
      </c>
      <c r="H88" s="552">
        <v>1400</v>
      </c>
      <c r="I88" s="560">
        <f>IF(X88 = 35, H88 + SUM(S88:S89) - SUM(T88:T89) - SUM(P88:P89) - V88,0)</f>
        <v>0</v>
      </c>
      <c r="J88" s="475" t="s">
        <v>241</v>
      </c>
      <c r="K88" s="475" t="s">
        <v>242</v>
      </c>
      <c r="L88" s="475" t="s">
        <v>146</v>
      </c>
      <c r="M88" s="475"/>
      <c r="N88" s="197"/>
      <c r="O88" s="550" t="s">
        <v>243</v>
      </c>
      <c r="P88" s="188">
        <v>420</v>
      </c>
      <c r="Q88" s="189">
        <v>45006</v>
      </c>
      <c r="R88" s="190"/>
      <c r="S88" s="188"/>
      <c r="T88" s="188"/>
      <c r="U88" s="552"/>
      <c r="V88" s="554"/>
      <c r="W88" s="556"/>
      <c r="X88" s="107">
        <v>35</v>
      </c>
    </row>
    <row r="89" spans="1:24" s="176" customFormat="1" x14ac:dyDescent="0.3">
      <c r="A89" s="549"/>
      <c r="B89" s="476"/>
      <c r="C89" s="476"/>
      <c r="D89" s="476"/>
      <c r="E89" s="559"/>
      <c r="F89" s="551"/>
      <c r="G89" s="476"/>
      <c r="H89" s="553"/>
      <c r="I89" s="561"/>
      <c r="J89" s="476"/>
      <c r="K89" s="476"/>
      <c r="L89" s="476"/>
      <c r="M89" s="476"/>
      <c r="N89" s="199"/>
      <c r="O89" s="551"/>
      <c r="P89" s="194">
        <v>980</v>
      </c>
      <c r="Q89" s="195">
        <v>45021</v>
      </c>
      <c r="R89" s="196"/>
      <c r="S89" s="194"/>
      <c r="T89" s="194"/>
      <c r="U89" s="553"/>
      <c r="V89" s="555"/>
      <c r="W89" s="557"/>
      <c r="X89" s="176">
        <v>35</v>
      </c>
    </row>
    <row r="90" spans="1:24" s="107" customFormat="1" ht="168.75" customHeight="1" x14ac:dyDescent="0.3">
      <c r="A90" s="594">
        <v>17</v>
      </c>
      <c r="B90" s="463" t="s">
        <v>56</v>
      </c>
      <c r="C90" s="463" t="s">
        <v>146</v>
      </c>
      <c r="D90" s="463" t="s">
        <v>147</v>
      </c>
      <c r="E90" s="467">
        <v>13</v>
      </c>
      <c r="F90" s="469">
        <v>45001</v>
      </c>
      <c r="G90" s="463" t="s">
        <v>244</v>
      </c>
      <c r="H90" s="471">
        <v>15363</v>
      </c>
      <c r="I90" s="473">
        <f>IF(X90 = 36, H90 + SUM(S90:S91) - SUM(T90:T91) - SUM(P90:P91) - V90,0)</f>
        <v>0</v>
      </c>
      <c r="J90" s="463" t="s">
        <v>245</v>
      </c>
      <c r="K90" s="463" t="s">
        <v>246</v>
      </c>
      <c r="L90" s="463" t="s">
        <v>146</v>
      </c>
      <c r="M90" s="463"/>
      <c r="N90" s="163">
        <v>45005</v>
      </c>
      <c r="O90" s="469" t="s">
        <v>235</v>
      </c>
      <c r="P90" s="164">
        <v>12675</v>
      </c>
      <c r="Q90" s="165">
        <v>45006</v>
      </c>
      <c r="R90" s="166"/>
      <c r="S90" s="164"/>
      <c r="T90" s="164"/>
      <c r="U90" s="471"/>
      <c r="V90" s="461"/>
      <c r="W90" s="465"/>
      <c r="X90" s="107">
        <v>36</v>
      </c>
    </row>
    <row r="91" spans="1:24" s="150" customFormat="1" x14ac:dyDescent="0.3">
      <c r="A91" s="595"/>
      <c r="B91" s="464"/>
      <c r="C91" s="464"/>
      <c r="D91" s="464"/>
      <c r="E91" s="468"/>
      <c r="F91" s="470"/>
      <c r="G91" s="464"/>
      <c r="H91" s="472"/>
      <c r="I91" s="474"/>
      <c r="J91" s="464"/>
      <c r="K91" s="464"/>
      <c r="L91" s="464"/>
      <c r="M91" s="464"/>
      <c r="N91" s="167">
        <v>45005</v>
      </c>
      <c r="O91" s="470"/>
      <c r="P91" s="168">
        <v>2688</v>
      </c>
      <c r="Q91" s="169">
        <v>45006</v>
      </c>
      <c r="R91" s="170"/>
      <c r="S91" s="168"/>
      <c r="T91" s="168"/>
      <c r="U91" s="472"/>
      <c r="V91" s="462"/>
      <c r="W91" s="466"/>
      <c r="X91" s="150">
        <v>36</v>
      </c>
    </row>
    <row r="92" spans="1:24" s="107" customFormat="1" ht="168.75" customHeight="1" x14ac:dyDescent="0.3">
      <c r="A92" s="449">
        <v>18</v>
      </c>
      <c r="B92" s="431" t="s">
        <v>56</v>
      </c>
      <c r="C92" s="431" t="s">
        <v>146</v>
      </c>
      <c r="D92" s="431" t="s">
        <v>147</v>
      </c>
      <c r="E92" s="434" t="s">
        <v>255</v>
      </c>
      <c r="F92" s="437">
        <v>44953</v>
      </c>
      <c r="G92" s="431" t="s">
        <v>256</v>
      </c>
      <c r="H92" s="440">
        <v>12096</v>
      </c>
      <c r="I92" s="443">
        <f>IF(X92 = 38, H92 + SUM(S92:S95) - SUM(T92:T95) - SUM(P92:P95) - V92,0)</f>
        <v>1512</v>
      </c>
      <c r="J92" s="431" t="s">
        <v>257</v>
      </c>
      <c r="K92" s="431" t="s">
        <v>258</v>
      </c>
      <c r="L92" s="431" t="s">
        <v>146</v>
      </c>
      <c r="M92" s="431"/>
      <c r="N92" s="369"/>
      <c r="O92" s="437" t="s">
        <v>181</v>
      </c>
      <c r="P92" s="360">
        <v>6048</v>
      </c>
      <c r="Q92" s="361">
        <v>45035</v>
      </c>
      <c r="R92" s="362"/>
      <c r="S92" s="360"/>
      <c r="T92" s="360"/>
      <c r="U92" s="440"/>
      <c r="V92" s="452"/>
      <c r="W92" s="455"/>
      <c r="X92" s="107">
        <v>38</v>
      </c>
    </row>
    <row r="93" spans="1:24" s="209" customFormat="1" x14ac:dyDescent="0.3">
      <c r="A93" s="450"/>
      <c r="B93" s="432"/>
      <c r="C93" s="432"/>
      <c r="D93" s="432"/>
      <c r="E93" s="435"/>
      <c r="F93" s="438"/>
      <c r="G93" s="432"/>
      <c r="H93" s="441"/>
      <c r="I93" s="444"/>
      <c r="J93" s="432"/>
      <c r="K93" s="432"/>
      <c r="L93" s="432"/>
      <c r="M93" s="432"/>
      <c r="N93" s="370"/>
      <c r="O93" s="438"/>
      <c r="P93" s="363">
        <v>1512</v>
      </c>
      <c r="Q93" s="364">
        <v>45051</v>
      </c>
      <c r="R93" s="365"/>
      <c r="S93" s="363"/>
      <c r="T93" s="363"/>
      <c r="U93" s="441"/>
      <c r="V93" s="453"/>
      <c r="W93" s="456"/>
      <c r="X93" s="209">
        <v>38</v>
      </c>
    </row>
    <row r="94" spans="1:24" s="291" customFormat="1" x14ac:dyDescent="0.3">
      <c r="A94" s="450"/>
      <c r="B94" s="432"/>
      <c r="C94" s="432"/>
      <c r="D94" s="432"/>
      <c r="E94" s="435"/>
      <c r="F94" s="438"/>
      <c r="G94" s="432"/>
      <c r="H94" s="441"/>
      <c r="I94" s="444"/>
      <c r="J94" s="432"/>
      <c r="K94" s="432"/>
      <c r="L94" s="432"/>
      <c r="M94" s="432"/>
      <c r="N94" s="370"/>
      <c r="O94" s="438"/>
      <c r="P94" s="363">
        <v>1512</v>
      </c>
      <c r="Q94" s="364">
        <v>45133</v>
      </c>
      <c r="R94" s="365"/>
      <c r="S94" s="363"/>
      <c r="T94" s="363"/>
      <c r="U94" s="441"/>
      <c r="V94" s="453"/>
      <c r="W94" s="456"/>
      <c r="X94" s="291">
        <v>38</v>
      </c>
    </row>
    <row r="95" spans="1:24" s="349" customFormat="1" x14ac:dyDescent="0.3">
      <c r="A95" s="451"/>
      <c r="B95" s="433"/>
      <c r="C95" s="433"/>
      <c r="D95" s="433"/>
      <c r="E95" s="436"/>
      <c r="F95" s="439"/>
      <c r="G95" s="433"/>
      <c r="H95" s="442"/>
      <c r="I95" s="445"/>
      <c r="J95" s="433"/>
      <c r="K95" s="433"/>
      <c r="L95" s="433"/>
      <c r="M95" s="433"/>
      <c r="N95" s="371"/>
      <c r="O95" s="439"/>
      <c r="P95" s="366">
        <v>1512</v>
      </c>
      <c r="Q95" s="367">
        <v>45205</v>
      </c>
      <c r="R95" s="368"/>
      <c r="S95" s="366"/>
      <c r="T95" s="366"/>
      <c r="U95" s="442"/>
      <c r="V95" s="454"/>
      <c r="W95" s="457"/>
      <c r="X95" s="349">
        <v>38</v>
      </c>
    </row>
    <row r="96" spans="1:24" s="107" customFormat="1" ht="144" x14ac:dyDescent="0.3">
      <c r="A96" s="177">
        <v>19</v>
      </c>
      <c r="B96" s="178" t="s">
        <v>56</v>
      </c>
      <c r="C96" s="178" t="s">
        <v>146</v>
      </c>
      <c r="D96" s="178" t="s">
        <v>147</v>
      </c>
      <c r="E96" s="179">
        <v>5</v>
      </c>
      <c r="F96" s="184">
        <v>45015</v>
      </c>
      <c r="G96" s="178" t="s">
        <v>196</v>
      </c>
      <c r="H96" s="180">
        <v>25212</v>
      </c>
      <c r="I96" s="181">
        <f>IF(X96 = 39, H96 + SUM(S96:S96) - SUM(T96:T96) - SUM(P96:P96) - V96,0)</f>
        <v>0</v>
      </c>
      <c r="J96" s="178" t="s">
        <v>260</v>
      </c>
      <c r="K96" s="178" t="s">
        <v>259</v>
      </c>
      <c r="L96" s="178" t="s">
        <v>146</v>
      </c>
      <c r="M96" s="178"/>
      <c r="N96" s="184"/>
      <c r="O96" s="184" t="s">
        <v>181</v>
      </c>
      <c r="P96" s="180">
        <v>25212</v>
      </c>
      <c r="Q96" s="182">
        <v>45044</v>
      </c>
      <c r="R96" s="178"/>
      <c r="S96" s="180"/>
      <c r="T96" s="180"/>
      <c r="U96" s="180"/>
      <c r="V96" s="183"/>
      <c r="W96" s="175"/>
      <c r="X96" s="107">
        <v>39</v>
      </c>
    </row>
    <row r="97" spans="1:24" s="107" customFormat="1" ht="144" x14ac:dyDescent="0.3">
      <c r="A97" s="177">
        <v>20</v>
      </c>
      <c r="B97" s="178" t="s">
        <v>56</v>
      </c>
      <c r="C97" s="178" t="s">
        <v>146</v>
      </c>
      <c r="D97" s="178" t="s">
        <v>147</v>
      </c>
      <c r="E97" s="179" t="s">
        <v>261</v>
      </c>
      <c r="F97" s="184">
        <v>45034</v>
      </c>
      <c r="G97" s="178" t="s">
        <v>262</v>
      </c>
      <c r="H97" s="180">
        <v>7600</v>
      </c>
      <c r="I97" s="181">
        <f>IF(X97 = 40, H97 + SUM(S97:S97) - SUM(T97:T97) - SUM(P97:P97) - V97,0)</f>
        <v>0</v>
      </c>
      <c r="J97" s="178" t="s">
        <v>263</v>
      </c>
      <c r="K97" s="178" t="s">
        <v>264</v>
      </c>
      <c r="L97" s="178" t="s">
        <v>146</v>
      </c>
      <c r="M97" s="178"/>
      <c r="N97" s="184"/>
      <c r="O97" s="184" t="s">
        <v>181</v>
      </c>
      <c r="P97" s="180">
        <v>7600</v>
      </c>
      <c r="Q97" s="182">
        <v>45035</v>
      </c>
      <c r="R97" s="178"/>
      <c r="S97" s="180"/>
      <c r="T97" s="180"/>
      <c r="U97" s="180"/>
      <c r="V97" s="183"/>
      <c r="W97" s="175"/>
      <c r="X97" s="107">
        <v>40</v>
      </c>
    </row>
    <row r="98" spans="1:24" s="107" customFormat="1" ht="144" x14ac:dyDescent="0.3">
      <c r="A98" s="177">
        <v>21</v>
      </c>
      <c r="B98" s="178" t="s">
        <v>56</v>
      </c>
      <c r="C98" s="178" t="s">
        <v>146</v>
      </c>
      <c r="D98" s="178" t="s">
        <v>147</v>
      </c>
      <c r="E98" s="179" t="s">
        <v>266</v>
      </c>
      <c r="F98" s="184">
        <v>45016</v>
      </c>
      <c r="G98" s="178" t="s">
        <v>267</v>
      </c>
      <c r="H98" s="180">
        <v>5000</v>
      </c>
      <c r="I98" s="181">
        <f>IF(X98 = 41, H98 + SUM(S98:S98) - SUM(T98:T98) - SUM(P98:P98) - V98,0)</f>
        <v>0</v>
      </c>
      <c r="J98" s="178" t="s">
        <v>268</v>
      </c>
      <c r="K98" s="178" t="s">
        <v>269</v>
      </c>
      <c r="L98" s="178" t="s">
        <v>146</v>
      </c>
      <c r="M98" s="178"/>
      <c r="N98" s="184"/>
      <c r="O98" s="184" t="s">
        <v>181</v>
      </c>
      <c r="P98" s="180">
        <v>5000</v>
      </c>
      <c r="Q98" s="182">
        <v>45023</v>
      </c>
      <c r="R98" s="178"/>
      <c r="S98" s="180"/>
      <c r="T98" s="180"/>
      <c r="U98" s="180"/>
      <c r="V98" s="183"/>
      <c r="W98" s="175"/>
      <c r="X98" s="107">
        <v>41</v>
      </c>
    </row>
    <row r="99" spans="1:24" s="107" customFormat="1" ht="144" x14ac:dyDescent="0.3">
      <c r="A99" s="177">
        <v>22</v>
      </c>
      <c r="B99" s="178" t="s">
        <v>56</v>
      </c>
      <c r="C99" s="178" t="s">
        <v>146</v>
      </c>
      <c r="D99" s="178" t="s">
        <v>147</v>
      </c>
      <c r="E99" s="179" t="s">
        <v>273</v>
      </c>
      <c r="F99" s="184">
        <v>45020</v>
      </c>
      <c r="G99" s="178" t="s">
        <v>272</v>
      </c>
      <c r="H99" s="180">
        <v>3000</v>
      </c>
      <c r="I99" s="181">
        <f>IF(X99 = 42, H99 + SUM(S99:S99) - SUM(T99:T99) - SUM(P99:P99) - V99,0)</f>
        <v>0</v>
      </c>
      <c r="J99" s="178" t="s">
        <v>271</v>
      </c>
      <c r="K99" s="178" t="s">
        <v>270</v>
      </c>
      <c r="L99" s="178" t="s">
        <v>146</v>
      </c>
      <c r="M99" s="178"/>
      <c r="N99" s="184"/>
      <c r="O99" s="184" t="s">
        <v>235</v>
      </c>
      <c r="P99" s="180">
        <v>3000</v>
      </c>
      <c r="Q99" s="182">
        <v>45023</v>
      </c>
      <c r="R99" s="178"/>
      <c r="S99" s="180"/>
      <c r="T99" s="180"/>
      <c r="U99" s="180"/>
      <c r="V99" s="183"/>
      <c r="W99" s="175"/>
      <c r="X99" s="107">
        <v>42</v>
      </c>
    </row>
    <row r="100" spans="1:24" s="107" customFormat="1" ht="144" x14ac:dyDescent="0.3">
      <c r="A100" s="177">
        <v>23</v>
      </c>
      <c r="B100" s="178" t="s">
        <v>56</v>
      </c>
      <c r="C100" s="178" t="s">
        <v>146</v>
      </c>
      <c r="D100" s="178" t="s">
        <v>147</v>
      </c>
      <c r="E100" s="179" t="s">
        <v>284</v>
      </c>
      <c r="F100" s="184">
        <v>45026</v>
      </c>
      <c r="G100" s="178" t="s">
        <v>287</v>
      </c>
      <c r="H100" s="180">
        <v>14422.5</v>
      </c>
      <c r="I100" s="181">
        <f>IF(X100 = 43, H100 + SUM(S100:S100) - SUM(T100:T100) - SUM(P100:P100) - V100,0)</f>
        <v>0</v>
      </c>
      <c r="J100" s="178" t="s">
        <v>286</v>
      </c>
      <c r="K100" s="178" t="s">
        <v>285</v>
      </c>
      <c r="L100" s="178" t="s">
        <v>146</v>
      </c>
      <c r="M100" s="178"/>
      <c r="N100" s="184">
        <v>45062</v>
      </c>
      <c r="O100" s="184" t="s">
        <v>181</v>
      </c>
      <c r="P100" s="180">
        <v>14422.5</v>
      </c>
      <c r="Q100" s="182">
        <v>45064</v>
      </c>
      <c r="R100" s="178"/>
      <c r="S100" s="180"/>
      <c r="T100" s="180"/>
      <c r="U100" s="180"/>
      <c r="V100" s="183"/>
      <c r="W100" s="175"/>
      <c r="X100" s="107">
        <v>43</v>
      </c>
    </row>
    <row r="101" spans="1:24" s="107" customFormat="1" ht="144" x14ac:dyDescent="0.3">
      <c r="A101" s="177">
        <v>24</v>
      </c>
      <c r="B101" s="178" t="s">
        <v>56</v>
      </c>
      <c r="C101" s="178" t="s">
        <v>146</v>
      </c>
      <c r="D101" s="178" t="s">
        <v>147</v>
      </c>
      <c r="E101" s="179">
        <v>19</v>
      </c>
      <c r="F101" s="184">
        <v>45026</v>
      </c>
      <c r="G101" s="178" t="s">
        <v>59</v>
      </c>
      <c r="H101" s="180">
        <v>4485</v>
      </c>
      <c r="I101" s="181">
        <f>IF(X101 = 44, H101 + SUM(S101:S101) - SUM(T101:T101) - SUM(P101:P101) - V101,0)</f>
        <v>0</v>
      </c>
      <c r="J101" s="178" t="s">
        <v>289</v>
      </c>
      <c r="K101" s="178" t="s">
        <v>288</v>
      </c>
      <c r="L101" s="178" t="s">
        <v>146</v>
      </c>
      <c r="M101" s="178"/>
      <c r="N101" s="184"/>
      <c r="O101" s="184" t="s">
        <v>235</v>
      </c>
      <c r="P101" s="180">
        <v>4485</v>
      </c>
      <c r="Q101" s="182">
        <v>45030</v>
      </c>
      <c r="R101" s="178"/>
      <c r="S101" s="180"/>
      <c r="T101" s="180"/>
      <c r="U101" s="180"/>
      <c r="V101" s="183"/>
      <c r="W101" s="175"/>
      <c r="X101" s="107">
        <v>44</v>
      </c>
    </row>
    <row r="102" spans="1:24" s="107" customFormat="1" ht="144" x14ac:dyDescent="0.3">
      <c r="A102" s="177">
        <v>25</v>
      </c>
      <c r="B102" s="178" t="s">
        <v>56</v>
      </c>
      <c r="C102" s="178" t="s">
        <v>146</v>
      </c>
      <c r="D102" s="178" t="s">
        <v>147</v>
      </c>
      <c r="E102" s="179">
        <v>10</v>
      </c>
      <c r="F102" s="184">
        <v>45043</v>
      </c>
      <c r="G102" s="178" t="s">
        <v>295</v>
      </c>
      <c r="H102" s="180">
        <v>4590</v>
      </c>
      <c r="I102" s="181">
        <f>IF(X102 = 45, H102 + SUM(S102:S102) - SUM(T102:T102) - SUM(P102:P102) - V102,0)</f>
        <v>0</v>
      </c>
      <c r="J102" s="178" t="s">
        <v>296</v>
      </c>
      <c r="K102" s="178" t="s">
        <v>297</v>
      </c>
      <c r="L102" s="178" t="s">
        <v>146</v>
      </c>
      <c r="M102" s="178"/>
      <c r="N102" s="184"/>
      <c r="O102" s="184" t="s">
        <v>181</v>
      </c>
      <c r="P102" s="180">
        <v>4590</v>
      </c>
      <c r="Q102" s="182">
        <v>45135</v>
      </c>
      <c r="R102" s="178"/>
      <c r="S102" s="180"/>
      <c r="T102" s="180"/>
      <c r="U102" s="180"/>
      <c r="V102" s="183"/>
      <c r="W102" s="175"/>
      <c r="X102" s="107">
        <v>45</v>
      </c>
    </row>
    <row r="103" spans="1:24" s="107" customFormat="1" ht="144" x14ac:dyDescent="0.3">
      <c r="A103" s="211">
        <v>26</v>
      </c>
      <c r="B103" s="212" t="s">
        <v>56</v>
      </c>
      <c r="C103" s="212" t="s">
        <v>146</v>
      </c>
      <c r="D103" s="212" t="s">
        <v>147</v>
      </c>
      <c r="E103" s="213">
        <v>24</v>
      </c>
      <c r="F103" s="234">
        <v>45050</v>
      </c>
      <c r="G103" s="212" t="s">
        <v>302</v>
      </c>
      <c r="H103" s="214">
        <v>3750</v>
      </c>
      <c r="I103" s="215">
        <f>IF(X103 = 46, H103 + SUM(S103:S103) - SUM(T103:T103) - SUM(P103:P103) - V103,0)</f>
        <v>0</v>
      </c>
      <c r="J103" s="212" t="s">
        <v>303</v>
      </c>
      <c r="K103" s="212" t="s">
        <v>304</v>
      </c>
      <c r="L103" s="212" t="s">
        <v>146</v>
      </c>
      <c r="M103" s="212"/>
      <c r="N103" s="234"/>
      <c r="O103" s="234" t="s">
        <v>181</v>
      </c>
      <c r="P103" s="214">
        <v>3750</v>
      </c>
      <c r="Q103" s="217">
        <v>45061</v>
      </c>
      <c r="R103" s="212"/>
      <c r="S103" s="214"/>
      <c r="T103" s="214"/>
      <c r="U103" s="214"/>
      <c r="V103" s="216"/>
      <c r="W103" s="210"/>
      <c r="X103" s="107">
        <v>46</v>
      </c>
    </row>
    <row r="104" spans="1:24" s="107" customFormat="1" ht="36" x14ac:dyDescent="0.3">
      <c r="A104" s="211">
        <v>27</v>
      </c>
      <c r="B104" s="212" t="s">
        <v>56</v>
      </c>
      <c r="C104" s="212" t="s">
        <v>146</v>
      </c>
      <c r="D104" s="212" t="s">
        <v>147</v>
      </c>
      <c r="E104" s="213" t="s">
        <v>307</v>
      </c>
      <c r="F104" s="234">
        <v>45061</v>
      </c>
      <c r="G104" s="212" t="s">
        <v>308</v>
      </c>
      <c r="H104" s="214">
        <v>7348.98</v>
      </c>
      <c r="I104" s="215">
        <f>IF(X104 = 47, H104 + SUM(S104:S104) - SUM(T104:T104) - SUM(P104:P104) - V104,0)</f>
        <v>0</v>
      </c>
      <c r="J104" s="212" t="s">
        <v>309</v>
      </c>
      <c r="K104" s="212" t="s">
        <v>310</v>
      </c>
      <c r="L104" s="212" t="s">
        <v>146</v>
      </c>
      <c r="M104" s="212"/>
      <c r="N104" s="234"/>
      <c r="O104" s="234" t="s">
        <v>311</v>
      </c>
      <c r="P104" s="214">
        <v>7348.98</v>
      </c>
      <c r="Q104" s="217">
        <v>45070</v>
      </c>
      <c r="R104" s="212"/>
      <c r="S104" s="214"/>
      <c r="T104" s="214"/>
      <c r="U104" s="214"/>
      <c r="V104" s="216"/>
      <c r="W104" s="210"/>
      <c r="X104" s="107">
        <v>47</v>
      </c>
    </row>
    <row r="105" spans="1:24" s="107" customFormat="1" ht="144" x14ac:dyDescent="0.3">
      <c r="A105" s="236">
        <v>28</v>
      </c>
      <c r="B105" s="237" t="s">
        <v>56</v>
      </c>
      <c r="C105" s="237" t="s">
        <v>146</v>
      </c>
      <c r="D105" s="237" t="s">
        <v>147</v>
      </c>
      <c r="E105" s="245" t="s">
        <v>320</v>
      </c>
      <c r="F105" s="244">
        <v>45076</v>
      </c>
      <c r="G105" s="237" t="s">
        <v>321</v>
      </c>
      <c r="H105" s="239">
        <v>2320</v>
      </c>
      <c r="I105" s="240">
        <f>IF(X105 = 49, H105 + SUM(S105:S105) - SUM(T105:T105) - SUM(P105:P105) - V105,0)</f>
        <v>0</v>
      </c>
      <c r="J105" s="237" t="s">
        <v>322</v>
      </c>
      <c r="K105" s="237" t="s">
        <v>323</v>
      </c>
      <c r="L105" s="237" t="s">
        <v>146</v>
      </c>
      <c r="M105" s="237"/>
      <c r="N105" s="244">
        <v>45078</v>
      </c>
      <c r="O105" s="244" t="s">
        <v>235</v>
      </c>
      <c r="P105" s="239">
        <v>2320</v>
      </c>
      <c r="Q105" s="238">
        <v>45090</v>
      </c>
      <c r="R105" s="237"/>
      <c r="S105" s="239"/>
      <c r="T105" s="239"/>
      <c r="U105" s="239"/>
      <c r="V105" s="246"/>
      <c r="W105" s="233"/>
      <c r="X105" s="107">
        <v>49</v>
      </c>
    </row>
    <row r="106" spans="1:24" s="107" customFormat="1" ht="168.75" customHeight="1" x14ac:dyDescent="0.3">
      <c r="A106" s="592">
        <v>29</v>
      </c>
      <c r="B106" s="564" t="s">
        <v>56</v>
      </c>
      <c r="C106" s="564" t="s">
        <v>146</v>
      </c>
      <c r="D106" s="564" t="s">
        <v>147</v>
      </c>
      <c r="E106" s="568" t="s">
        <v>324</v>
      </c>
      <c r="F106" s="570">
        <v>45078</v>
      </c>
      <c r="G106" s="564" t="s">
        <v>321</v>
      </c>
      <c r="H106" s="572">
        <v>33017</v>
      </c>
      <c r="I106" s="574">
        <f>IF(X106 = 50, H106 + SUM(S106:S107) - SUM(T106:T107) - SUM(P106:P107) - V106,0)</f>
        <v>0</v>
      </c>
      <c r="J106" s="564" t="s">
        <v>322</v>
      </c>
      <c r="K106" s="564" t="s">
        <v>323</v>
      </c>
      <c r="L106" s="564" t="s">
        <v>146</v>
      </c>
      <c r="M106" s="564"/>
      <c r="N106" s="263"/>
      <c r="O106" s="570" t="s">
        <v>235</v>
      </c>
      <c r="P106" s="257">
        <v>12817</v>
      </c>
      <c r="Q106" s="258">
        <v>45093</v>
      </c>
      <c r="R106" s="259"/>
      <c r="S106" s="257"/>
      <c r="T106" s="257"/>
      <c r="U106" s="572"/>
      <c r="V106" s="562"/>
      <c r="W106" s="566"/>
      <c r="X106" s="107">
        <v>50</v>
      </c>
    </row>
    <row r="107" spans="1:24" s="249" customFormat="1" x14ac:dyDescent="0.3">
      <c r="A107" s="593"/>
      <c r="B107" s="565"/>
      <c r="C107" s="565"/>
      <c r="D107" s="565"/>
      <c r="E107" s="569"/>
      <c r="F107" s="571"/>
      <c r="G107" s="565"/>
      <c r="H107" s="573"/>
      <c r="I107" s="575"/>
      <c r="J107" s="565"/>
      <c r="K107" s="565"/>
      <c r="L107" s="565"/>
      <c r="M107" s="565"/>
      <c r="N107" s="264"/>
      <c r="O107" s="571"/>
      <c r="P107" s="260">
        <v>20200</v>
      </c>
      <c r="Q107" s="261">
        <v>45093</v>
      </c>
      <c r="R107" s="262"/>
      <c r="S107" s="260"/>
      <c r="T107" s="260"/>
      <c r="U107" s="573"/>
      <c r="V107" s="563"/>
      <c r="W107" s="567"/>
      <c r="X107" s="249">
        <v>50</v>
      </c>
    </row>
    <row r="108" spans="1:24" s="107" customFormat="1" ht="144" x14ac:dyDescent="0.3">
      <c r="A108" s="236">
        <v>30</v>
      </c>
      <c r="B108" s="237" t="s">
        <v>56</v>
      </c>
      <c r="C108" s="237" t="s">
        <v>146</v>
      </c>
      <c r="D108" s="237" t="s">
        <v>147</v>
      </c>
      <c r="E108" s="245" t="s">
        <v>325</v>
      </c>
      <c r="F108" s="244">
        <v>45079</v>
      </c>
      <c r="G108" s="237" t="s">
        <v>326</v>
      </c>
      <c r="H108" s="239">
        <v>2841</v>
      </c>
      <c r="I108" s="240">
        <f>IF(X108 = 51, H108 + SUM(S108:S108) - SUM(T108:T108) - SUM(P108:P108) - V108,0)</f>
        <v>0</v>
      </c>
      <c r="J108" s="237" t="s">
        <v>327</v>
      </c>
      <c r="K108" s="237" t="s">
        <v>328</v>
      </c>
      <c r="L108" s="237" t="s">
        <v>146</v>
      </c>
      <c r="M108" s="237"/>
      <c r="N108" s="244">
        <v>45082</v>
      </c>
      <c r="O108" s="244" t="s">
        <v>235</v>
      </c>
      <c r="P108" s="239">
        <v>2841</v>
      </c>
      <c r="Q108" s="238">
        <v>45090</v>
      </c>
      <c r="R108" s="237"/>
      <c r="S108" s="239"/>
      <c r="T108" s="239"/>
      <c r="U108" s="239"/>
      <c r="V108" s="246"/>
      <c r="W108" s="233"/>
      <c r="X108" s="107">
        <v>51</v>
      </c>
    </row>
    <row r="109" spans="1:24" s="107" customFormat="1" ht="144" x14ac:dyDescent="0.3">
      <c r="A109" s="236">
        <v>31</v>
      </c>
      <c r="B109" s="237" t="s">
        <v>56</v>
      </c>
      <c r="C109" s="237" t="s">
        <v>146</v>
      </c>
      <c r="D109" s="237" t="s">
        <v>147</v>
      </c>
      <c r="E109" s="245" t="s">
        <v>331</v>
      </c>
      <c r="F109" s="247">
        <v>45083</v>
      </c>
      <c r="G109" s="237" t="s">
        <v>321</v>
      </c>
      <c r="H109" s="239">
        <v>1400</v>
      </c>
      <c r="I109" s="240">
        <f>IF(X109 = 52, H109 + SUM(S109:S109) - SUM(T109:T109) - SUM(P109:P109) - V109,0)</f>
        <v>0</v>
      </c>
      <c r="J109" s="237" t="s">
        <v>322</v>
      </c>
      <c r="K109" s="237" t="s">
        <v>323</v>
      </c>
      <c r="L109" s="237" t="s">
        <v>146</v>
      </c>
      <c r="M109" s="237"/>
      <c r="N109" s="247">
        <v>45083</v>
      </c>
      <c r="O109" s="247" t="s">
        <v>235</v>
      </c>
      <c r="P109" s="239">
        <v>1400</v>
      </c>
      <c r="Q109" s="238">
        <v>45093</v>
      </c>
      <c r="R109" s="237"/>
      <c r="S109" s="239"/>
      <c r="T109" s="239"/>
      <c r="U109" s="239"/>
      <c r="V109" s="246"/>
      <c r="W109" s="235"/>
      <c r="X109" s="107">
        <v>52</v>
      </c>
    </row>
    <row r="110" spans="1:24" s="107" customFormat="1" ht="168.75" customHeight="1" x14ac:dyDescent="0.3">
      <c r="A110" s="588">
        <v>32</v>
      </c>
      <c r="B110" s="578" t="s">
        <v>56</v>
      </c>
      <c r="C110" s="578" t="s">
        <v>146</v>
      </c>
      <c r="D110" s="578" t="s">
        <v>332</v>
      </c>
      <c r="E110" s="580">
        <v>6</v>
      </c>
      <c r="F110" s="582">
        <v>45092</v>
      </c>
      <c r="G110" s="578" t="s">
        <v>333</v>
      </c>
      <c r="H110" s="584">
        <v>83411.7</v>
      </c>
      <c r="I110" s="586">
        <f>IF(X110 = 53, H110 + SUM(S110:S111) - SUM(T110:T111) - SUM(P110:P111) - V110,0)</f>
        <v>0</v>
      </c>
      <c r="J110" s="578" t="s">
        <v>281</v>
      </c>
      <c r="K110" s="578" t="s">
        <v>334</v>
      </c>
      <c r="L110" s="578" t="s">
        <v>146</v>
      </c>
      <c r="M110" s="578"/>
      <c r="N110" s="302"/>
      <c r="O110" s="582" t="s">
        <v>235</v>
      </c>
      <c r="P110" s="293">
        <v>66727.5</v>
      </c>
      <c r="Q110" s="294">
        <v>45125</v>
      </c>
      <c r="R110" s="295"/>
      <c r="S110" s="293"/>
      <c r="T110" s="293"/>
      <c r="U110" s="584"/>
      <c r="V110" s="590"/>
      <c r="W110" s="576"/>
      <c r="X110" s="107">
        <v>53</v>
      </c>
    </row>
    <row r="111" spans="1:24" s="291" customFormat="1" x14ac:dyDescent="0.3">
      <c r="A111" s="589"/>
      <c r="B111" s="579"/>
      <c r="C111" s="579"/>
      <c r="D111" s="579"/>
      <c r="E111" s="581"/>
      <c r="F111" s="583"/>
      <c r="G111" s="579"/>
      <c r="H111" s="585"/>
      <c r="I111" s="587"/>
      <c r="J111" s="579"/>
      <c r="K111" s="579"/>
      <c r="L111" s="579"/>
      <c r="M111" s="579"/>
      <c r="N111" s="304"/>
      <c r="O111" s="583"/>
      <c r="P111" s="299">
        <v>16684.2</v>
      </c>
      <c r="Q111" s="300">
        <v>45125</v>
      </c>
      <c r="R111" s="301"/>
      <c r="S111" s="299"/>
      <c r="T111" s="299"/>
      <c r="U111" s="585"/>
      <c r="V111" s="591"/>
      <c r="W111" s="577"/>
      <c r="X111" s="291">
        <v>53</v>
      </c>
    </row>
    <row r="112" spans="1:24" s="107" customFormat="1" ht="144" x14ac:dyDescent="0.3">
      <c r="A112" s="236">
        <v>33</v>
      </c>
      <c r="B112" s="237" t="s">
        <v>56</v>
      </c>
      <c r="C112" s="237" t="s">
        <v>146</v>
      </c>
      <c r="D112" s="237" t="s">
        <v>147</v>
      </c>
      <c r="E112" s="245">
        <v>29</v>
      </c>
      <c r="F112" s="247">
        <v>45092</v>
      </c>
      <c r="G112" s="237" t="s">
        <v>335</v>
      </c>
      <c r="H112" s="239">
        <v>4350</v>
      </c>
      <c r="I112" s="240">
        <f>IF(X112 = 54, H112 + SUM(S112:S112) - SUM(T112:T112) - SUM(P112:P112) - V112,0)</f>
        <v>0</v>
      </c>
      <c r="J112" s="237" t="s">
        <v>289</v>
      </c>
      <c r="K112" s="237" t="s">
        <v>288</v>
      </c>
      <c r="L112" s="237" t="s">
        <v>146</v>
      </c>
      <c r="M112" s="237"/>
      <c r="N112" s="247">
        <v>45092</v>
      </c>
      <c r="O112" s="247" t="s">
        <v>235</v>
      </c>
      <c r="P112" s="239">
        <v>4350</v>
      </c>
      <c r="Q112" s="238">
        <v>45099</v>
      </c>
      <c r="R112" s="237"/>
      <c r="S112" s="239"/>
      <c r="T112" s="239"/>
      <c r="U112" s="239"/>
      <c r="V112" s="246"/>
      <c r="W112" s="235"/>
      <c r="X112" s="107">
        <v>54</v>
      </c>
    </row>
    <row r="113" spans="1:24" s="107" customFormat="1" ht="144" x14ac:dyDescent="0.3">
      <c r="A113" s="236">
        <v>34</v>
      </c>
      <c r="B113" s="237" t="s">
        <v>56</v>
      </c>
      <c r="C113" s="237" t="s">
        <v>146</v>
      </c>
      <c r="D113" s="237" t="s">
        <v>147</v>
      </c>
      <c r="E113" s="245">
        <v>381</v>
      </c>
      <c r="F113" s="269">
        <v>45103</v>
      </c>
      <c r="G113" s="237" t="s">
        <v>343</v>
      </c>
      <c r="H113" s="239">
        <v>4000</v>
      </c>
      <c r="I113" s="240">
        <f>IF(X113 = 55, H113 + SUM(S113:S113) - SUM(T113:T113) - SUM(P113:P113) - V113,0)</f>
        <v>0</v>
      </c>
      <c r="J113" s="237" t="s">
        <v>207</v>
      </c>
      <c r="K113" s="237" t="s">
        <v>158</v>
      </c>
      <c r="L113" s="237" t="s">
        <v>146</v>
      </c>
      <c r="M113" s="237"/>
      <c r="N113" s="269">
        <v>45103</v>
      </c>
      <c r="O113" s="269" t="s">
        <v>181</v>
      </c>
      <c r="P113" s="239">
        <v>4000</v>
      </c>
      <c r="Q113" s="238">
        <v>45107</v>
      </c>
      <c r="R113" s="237"/>
      <c r="S113" s="239"/>
      <c r="T113" s="239"/>
      <c r="U113" s="239"/>
      <c r="V113" s="246"/>
      <c r="W113" s="250"/>
      <c r="X113" s="107">
        <v>55</v>
      </c>
    </row>
    <row r="114" spans="1:24" s="107" customFormat="1" ht="168.75" customHeight="1" x14ac:dyDescent="0.3">
      <c r="A114" s="449">
        <v>35</v>
      </c>
      <c r="B114" s="431" t="s">
        <v>56</v>
      </c>
      <c r="C114" s="431" t="s">
        <v>179</v>
      </c>
      <c r="D114" s="431" t="s">
        <v>147</v>
      </c>
      <c r="E114" s="434" t="s">
        <v>345</v>
      </c>
      <c r="F114" s="437">
        <v>45107</v>
      </c>
      <c r="G114" s="431" t="s">
        <v>346</v>
      </c>
      <c r="H114" s="440">
        <v>268400</v>
      </c>
      <c r="I114" s="443">
        <f>IF(X114 = 56, H114 + SUM(S114:S116) - SUM(T114:T116) - SUM(P114:P116) - V114,0)</f>
        <v>127774.01999999999</v>
      </c>
      <c r="J114" s="446">
        <v>2311299612</v>
      </c>
      <c r="K114" s="431" t="s">
        <v>347</v>
      </c>
      <c r="L114" s="431" t="s">
        <v>146</v>
      </c>
      <c r="M114" s="431"/>
      <c r="N114" s="369">
        <v>45138</v>
      </c>
      <c r="O114" s="437" t="s">
        <v>181</v>
      </c>
      <c r="P114" s="360">
        <v>10150.4</v>
      </c>
      <c r="Q114" s="361">
        <v>45148</v>
      </c>
      <c r="R114" s="362"/>
      <c r="S114" s="360"/>
      <c r="T114" s="360"/>
      <c r="U114" s="440"/>
      <c r="V114" s="452"/>
      <c r="W114" s="455"/>
      <c r="X114" s="107">
        <v>56</v>
      </c>
    </row>
    <row r="115" spans="1:24" s="332" customFormat="1" x14ac:dyDescent="0.3">
      <c r="A115" s="450"/>
      <c r="B115" s="432"/>
      <c r="C115" s="432"/>
      <c r="D115" s="432"/>
      <c r="E115" s="435"/>
      <c r="F115" s="438"/>
      <c r="G115" s="432"/>
      <c r="H115" s="441"/>
      <c r="I115" s="444"/>
      <c r="J115" s="447"/>
      <c r="K115" s="432"/>
      <c r="L115" s="432"/>
      <c r="M115" s="432"/>
      <c r="N115" s="370">
        <v>45169</v>
      </c>
      <c r="O115" s="438"/>
      <c r="P115" s="363">
        <v>18544</v>
      </c>
      <c r="Q115" s="364">
        <v>45175</v>
      </c>
      <c r="R115" s="365"/>
      <c r="S115" s="363"/>
      <c r="T115" s="363"/>
      <c r="U115" s="441"/>
      <c r="V115" s="453"/>
      <c r="W115" s="456"/>
      <c r="X115" s="332">
        <v>56</v>
      </c>
    </row>
    <row r="116" spans="1:24" s="349" customFormat="1" x14ac:dyDescent="0.3">
      <c r="A116" s="451"/>
      <c r="B116" s="433"/>
      <c r="C116" s="433"/>
      <c r="D116" s="433"/>
      <c r="E116" s="436"/>
      <c r="F116" s="439"/>
      <c r="G116" s="433"/>
      <c r="H116" s="442"/>
      <c r="I116" s="445"/>
      <c r="J116" s="448"/>
      <c r="K116" s="433"/>
      <c r="L116" s="433"/>
      <c r="M116" s="433"/>
      <c r="N116" s="371">
        <v>45199</v>
      </c>
      <c r="O116" s="439"/>
      <c r="P116" s="366">
        <v>111931.58</v>
      </c>
      <c r="Q116" s="367">
        <v>45205</v>
      </c>
      <c r="R116" s="368"/>
      <c r="S116" s="366"/>
      <c r="T116" s="366"/>
      <c r="U116" s="442"/>
      <c r="V116" s="454"/>
      <c r="W116" s="457"/>
      <c r="X116" s="349">
        <v>56</v>
      </c>
    </row>
    <row r="117" spans="1:24" s="107" customFormat="1" ht="144" x14ac:dyDescent="0.3">
      <c r="A117" s="270">
        <v>36</v>
      </c>
      <c r="B117" s="272" t="s">
        <v>56</v>
      </c>
      <c r="C117" s="272" t="s">
        <v>146</v>
      </c>
      <c r="D117" s="272" t="s">
        <v>147</v>
      </c>
      <c r="E117" s="275" t="s">
        <v>350</v>
      </c>
      <c r="F117" s="278">
        <v>45125</v>
      </c>
      <c r="G117" s="272" t="s">
        <v>351</v>
      </c>
      <c r="H117" s="271">
        <v>19500</v>
      </c>
      <c r="I117" s="276">
        <f>IF(X117 = 57, H117 + SUM(S117:S117) - SUM(T117:T117) - SUM(P117:P117) - V117,0)</f>
        <v>0</v>
      </c>
      <c r="J117" s="272" t="s">
        <v>352</v>
      </c>
      <c r="K117" s="272" t="s">
        <v>353</v>
      </c>
      <c r="L117" s="272" t="s">
        <v>146</v>
      </c>
      <c r="M117" s="272"/>
      <c r="N117" s="278"/>
      <c r="O117" s="278" t="s">
        <v>235</v>
      </c>
      <c r="P117" s="271">
        <v>19500</v>
      </c>
      <c r="Q117" s="277">
        <v>45132</v>
      </c>
      <c r="R117" s="272"/>
      <c r="S117" s="271"/>
      <c r="T117" s="271"/>
      <c r="U117" s="271"/>
      <c r="V117" s="273"/>
      <c r="W117" s="274"/>
      <c r="X117" s="107">
        <v>57</v>
      </c>
    </row>
    <row r="118" spans="1:24" s="107" customFormat="1" ht="144" x14ac:dyDescent="0.3">
      <c r="A118" s="279">
        <v>37</v>
      </c>
      <c r="B118" s="281" t="s">
        <v>56</v>
      </c>
      <c r="C118" s="281" t="s">
        <v>146</v>
      </c>
      <c r="D118" s="281" t="s">
        <v>147</v>
      </c>
      <c r="E118" s="284">
        <v>186</v>
      </c>
      <c r="F118" s="290">
        <v>45131</v>
      </c>
      <c r="G118" s="281" t="s">
        <v>354</v>
      </c>
      <c r="H118" s="280">
        <v>41050</v>
      </c>
      <c r="I118" s="285">
        <f>IF(X118 = 58, H118 + SUM(S118:S118) - SUM(T118:T118) - SUM(P118:P118) - V118,0)</f>
        <v>0</v>
      </c>
      <c r="J118" s="281" t="s">
        <v>355</v>
      </c>
      <c r="K118" s="281" t="s">
        <v>225</v>
      </c>
      <c r="L118" s="281" t="s">
        <v>146</v>
      </c>
      <c r="M118" s="281"/>
      <c r="N118" s="290"/>
      <c r="O118" s="290" t="s">
        <v>235</v>
      </c>
      <c r="P118" s="280">
        <v>41050</v>
      </c>
      <c r="Q118" s="286">
        <v>45132</v>
      </c>
      <c r="R118" s="281"/>
      <c r="S118" s="280"/>
      <c r="T118" s="280"/>
      <c r="U118" s="280"/>
      <c r="V118" s="282"/>
      <c r="W118" s="283"/>
      <c r="X118" s="107">
        <v>58</v>
      </c>
    </row>
    <row r="119" spans="1:24" s="107" customFormat="1" ht="144" x14ac:dyDescent="0.3">
      <c r="A119" s="279">
        <v>38</v>
      </c>
      <c r="B119" s="281" t="s">
        <v>56</v>
      </c>
      <c r="C119" s="281" t="s">
        <v>146</v>
      </c>
      <c r="D119" s="281" t="s">
        <v>147</v>
      </c>
      <c r="E119" s="284" t="s">
        <v>312</v>
      </c>
      <c r="F119" s="290">
        <v>45128</v>
      </c>
      <c r="G119" s="281" t="s">
        <v>357</v>
      </c>
      <c r="H119" s="280">
        <v>100000</v>
      </c>
      <c r="I119" s="285">
        <f>IF(X119 = 59, H119 + SUM(S119:S119) - SUM(T119:T119) - SUM(P119:P119) - V119,0)</f>
        <v>0</v>
      </c>
      <c r="J119" s="281" t="s">
        <v>313</v>
      </c>
      <c r="K119" s="281" t="s">
        <v>314</v>
      </c>
      <c r="L119" s="281" t="s">
        <v>146</v>
      </c>
      <c r="M119" s="281"/>
      <c r="N119" s="290"/>
      <c r="O119" s="290" t="s">
        <v>235</v>
      </c>
      <c r="P119" s="280">
        <v>100000</v>
      </c>
      <c r="Q119" s="286">
        <v>45133</v>
      </c>
      <c r="R119" s="281"/>
      <c r="S119" s="280"/>
      <c r="T119" s="280"/>
      <c r="U119" s="280"/>
      <c r="V119" s="282"/>
      <c r="W119" s="283"/>
      <c r="X119" s="107">
        <v>59</v>
      </c>
    </row>
    <row r="120" spans="1:24" s="107" customFormat="1" ht="144" x14ac:dyDescent="0.3">
      <c r="A120" s="279">
        <v>39</v>
      </c>
      <c r="B120" s="281" t="s">
        <v>56</v>
      </c>
      <c r="C120" s="281" t="s">
        <v>146</v>
      </c>
      <c r="D120" s="281" t="s">
        <v>147</v>
      </c>
      <c r="E120" s="284">
        <v>91</v>
      </c>
      <c r="F120" s="290">
        <v>45132</v>
      </c>
      <c r="G120" s="281" t="s">
        <v>231</v>
      </c>
      <c r="H120" s="280">
        <v>4500</v>
      </c>
      <c r="I120" s="285">
        <f>IF(X120 = 60, H120 + SUM(S120:S120) - SUM(T120:T120) - SUM(P120:P120) - V120,0)</f>
        <v>0</v>
      </c>
      <c r="J120" s="281" t="s">
        <v>356</v>
      </c>
      <c r="K120" s="281" t="s">
        <v>171</v>
      </c>
      <c r="L120" s="281" t="s">
        <v>146</v>
      </c>
      <c r="M120" s="281"/>
      <c r="N120" s="290"/>
      <c r="O120" s="290" t="s">
        <v>235</v>
      </c>
      <c r="P120" s="280">
        <v>4500</v>
      </c>
      <c r="Q120" s="286">
        <v>45142</v>
      </c>
      <c r="R120" s="281"/>
      <c r="S120" s="280"/>
      <c r="T120" s="280"/>
      <c r="U120" s="280"/>
      <c r="V120" s="282"/>
      <c r="W120" s="283"/>
      <c r="X120" s="107">
        <v>60</v>
      </c>
    </row>
    <row r="121" spans="1:24" s="107" customFormat="1" ht="144" x14ac:dyDescent="0.3">
      <c r="A121" s="308">
        <v>40</v>
      </c>
      <c r="B121" s="305" t="s">
        <v>56</v>
      </c>
      <c r="C121" s="305" t="s">
        <v>146</v>
      </c>
      <c r="D121" s="305" t="s">
        <v>147</v>
      </c>
      <c r="E121" s="309">
        <v>44932</v>
      </c>
      <c r="F121" s="323">
        <v>45092</v>
      </c>
      <c r="G121" s="305" t="s">
        <v>265</v>
      </c>
      <c r="H121" s="310">
        <v>10225.799999999999</v>
      </c>
      <c r="I121" s="311">
        <f>IF(X121 = 61, H121 + SUM(S121:S121) - SUM(T121:T121) - SUM(P121:P121) - V121,0)</f>
        <v>0</v>
      </c>
      <c r="J121" s="305" t="s">
        <v>281</v>
      </c>
      <c r="K121" s="305" t="s">
        <v>334</v>
      </c>
      <c r="L121" s="305" t="s">
        <v>146</v>
      </c>
      <c r="M121" s="305"/>
      <c r="N121" s="323"/>
      <c r="O121" s="323" t="s">
        <v>235</v>
      </c>
      <c r="P121" s="310">
        <v>10225.799999999999</v>
      </c>
      <c r="Q121" s="313">
        <v>45167</v>
      </c>
      <c r="R121" s="305"/>
      <c r="S121" s="310"/>
      <c r="T121" s="310"/>
      <c r="U121" s="310"/>
      <c r="V121" s="312"/>
      <c r="W121" s="306"/>
      <c r="X121" s="107">
        <v>61</v>
      </c>
    </row>
    <row r="122" spans="1:24" s="107" customFormat="1" ht="144" x14ac:dyDescent="0.3">
      <c r="A122" s="308">
        <v>41</v>
      </c>
      <c r="B122" s="305" t="s">
        <v>56</v>
      </c>
      <c r="C122" s="305" t="s">
        <v>146</v>
      </c>
      <c r="D122" s="305" t="s">
        <v>147</v>
      </c>
      <c r="E122" s="309" t="s">
        <v>358</v>
      </c>
      <c r="F122" s="323">
        <v>45140</v>
      </c>
      <c r="G122" s="305" t="s">
        <v>359</v>
      </c>
      <c r="H122" s="310">
        <v>19000</v>
      </c>
      <c r="I122" s="311">
        <f>IF(X122 = 62, H122 + SUM(S122:S122) - SUM(T122:T122) - SUM(P122:P122) - V122,0)</f>
        <v>0</v>
      </c>
      <c r="J122" s="305" t="s">
        <v>360</v>
      </c>
      <c r="K122" s="305" t="s">
        <v>361</v>
      </c>
      <c r="L122" s="305" t="s">
        <v>146</v>
      </c>
      <c r="M122" s="305"/>
      <c r="N122" s="323"/>
      <c r="O122" s="323" t="s">
        <v>235</v>
      </c>
      <c r="P122" s="310">
        <v>19000</v>
      </c>
      <c r="Q122" s="313">
        <v>45148</v>
      </c>
      <c r="R122" s="305"/>
      <c r="S122" s="310"/>
      <c r="T122" s="310"/>
      <c r="U122" s="310"/>
      <c r="V122" s="312"/>
      <c r="W122" s="306"/>
      <c r="X122" s="107">
        <v>62</v>
      </c>
    </row>
    <row r="123" spans="1:24" s="107" customFormat="1" ht="144" x14ac:dyDescent="0.3">
      <c r="A123" s="308">
        <v>42</v>
      </c>
      <c r="B123" s="305" t="s">
        <v>56</v>
      </c>
      <c r="C123" s="305" t="s">
        <v>146</v>
      </c>
      <c r="D123" s="305" t="s">
        <v>147</v>
      </c>
      <c r="E123" s="309">
        <v>458</v>
      </c>
      <c r="F123" s="323">
        <v>45146</v>
      </c>
      <c r="G123" s="305" t="s">
        <v>362</v>
      </c>
      <c r="H123" s="310">
        <v>28300</v>
      </c>
      <c r="I123" s="311">
        <f>IF(X123 = 63, H123 + SUM(S123:S123) - SUM(T123:T123) - SUM(P123:P123) - V123,0)</f>
        <v>0</v>
      </c>
      <c r="J123" s="305" t="s">
        <v>207</v>
      </c>
      <c r="K123" s="305" t="s">
        <v>158</v>
      </c>
      <c r="L123" s="305" t="s">
        <v>146</v>
      </c>
      <c r="M123" s="305"/>
      <c r="N123" s="323"/>
      <c r="O123" s="323" t="s">
        <v>235</v>
      </c>
      <c r="P123" s="310">
        <v>28300</v>
      </c>
      <c r="Q123" s="313">
        <v>45148</v>
      </c>
      <c r="R123" s="305"/>
      <c r="S123" s="310"/>
      <c r="T123" s="310"/>
      <c r="U123" s="310"/>
      <c r="V123" s="312"/>
      <c r="W123" s="306"/>
      <c r="X123" s="107">
        <v>63</v>
      </c>
    </row>
    <row r="124" spans="1:24" s="107" customFormat="1" ht="168.75" customHeight="1" x14ac:dyDescent="0.3">
      <c r="A124" s="449">
        <v>43</v>
      </c>
      <c r="B124" s="431" t="s">
        <v>56</v>
      </c>
      <c r="C124" s="431" t="s">
        <v>146</v>
      </c>
      <c r="D124" s="431" t="s">
        <v>332</v>
      </c>
      <c r="E124" s="434" t="s">
        <v>363</v>
      </c>
      <c r="F124" s="437">
        <v>45146</v>
      </c>
      <c r="G124" s="431" t="s">
        <v>364</v>
      </c>
      <c r="H124" s="440">
        <v>19188.400000000001</v>
      </c>
      <c r="I124" s="443">
        <f>IF(X124 = 64, H124 + SUM(S124:S125) - SUM(T124:T125) - SUM(P124:P125) - V124,0)</f>
        <v>0</v>
      </c>
      <c r="J124" s="431" t="s">
        <v>365</v>
      </c>
      <c r="K124" s="431" t="s">
        <v>277</v>
      </c>
      <c r="L124" s="431" t="s">
        <v>146</v>
      </c>
      <c r="M124" s="431"/>
      <c r="N124" s="369"/>
      <c r="O124" s="437" t="s">
        <v>235</v>
      </c>
      <c r="P124" s="360">
        <v>5948.25</v>
      </c>
      <c r="Q124" s="361">
        <v>45167</v>
      </c>
      <c r="R124" s="362"/>
      <c r="S124" s="360"/>
      <c r="T124" s="360"/>
      <c r="U124" s="440"/>
      <c r="V124" s="452"/>
      <c r="W124" s="455"/>
      <c r="X124" s="107">
        <v>64</v>
      </c>
    </row>
    <row r="125" spans="1:24" s="349" customFormat="1" x14ac:dyDescent="0.3">
      <c r="A125" s="451"/>
      <c r="B125" s="433"/>
      <c r="C125" s="433"/>
      <c r="D125" s="433"/>
      <c r="E125" s="436"/>
      <c r="F125" s="439"/>
      <c r="G125" s="433"/>
      <c r="H125" s="442"/>
      <c r="I125" s="445"/>
      <c r="J125" s="433"/>
      <c r="K125" s="433"/>
      <c r="L125" s="433"/>
      <c r="M125" s="433"/>
      <c r="N125" s="371"/>
      <c r="O125" s="439"/>
      <c r="P125" s="366">
        <v>13240.15</v>
      </c>
      <c r="Q125" s="367">
        <v>45205</v>
      </c>
      <c r="R125" s="368"/>
      <c r="S125" s="366"/>
      <c r="T125" s="366"/>
      <c r="U125" s="442"/>
      <c r="V125" s="454"/>
      <c r="W125" s="457"/>
      <c r="X125" s="349">
        <v>64</v>
      </c>
    </row>
    <row r="126" spans="1:24" s="107" customFormat="1" ht="144" x14ac:dyDescent="0.3">
      <c r="A126" s="308">
        <v>44</v>
      </c>
      <c r="B126" s="305" t="s">
        <v>56</v>
      </c>
      <c r="C126" s="305" t="s">
        <v>146</v>
      </c>
      <c r="D126" s="305" t="s">
        <v>147</v>
      </c>
      <c r="E126" s="309">
        <v>1</v>
      </c>
      <c r="F126" s="323">
        <v>45156</v>
      </c>
      <c r="G126" s="305" t="s">
        <v>240</v>
      </c>
      <c r="H126" s="310">
        <v>25000</v>
      </c>
      <c r="I126" s="311">
        <f>IF(X126 = 65, H126 + SUM(S126:S126) - SUM(T126:T126) - SUM(P126:P126) - V126,0)</f>
        <v>0</v>
      </c>
      <c r="J126" s="305" t="s">
        <v>366</v>
      </c>
      <c r="K126" s="305" t="s">
        <v>367</v>
      </c>
      <c r="L126" s="305" t="s">
        <v>146</v>
      </c>
      <c r="M126" s="305"/>
      <c r="N126" s="323"/>
      <c r="O126" s="323" t="s">
        <v>235</v>
      </c>
      <c r="P126" s="310">
        <v>25000</v>
      </c>
      <c r="Q126" s="313">
        <v>45163</v>
      </c>
      <c r="R126" s="305"/>
      <c r="S126" s="310"/>
      <c r="T126" s="310"/>
      <c r="U126" s="310"/>
      <c r="V126" s="312"/>
      <c r="W126" s="306"/>
      <c r="X126" s="107">
        <v>65</v>
      </c>
    </row>
    <row r="127" spans="1:24" s="107" customFormat="1" ht="168.75" customHeight="1" x14ac:dyDescent="0.3">
      <c r="A127" s="449">
        <v>45</v>
      </c>
      <c r="B127" s="431" t="s">
        <v>56</v>
      </c>
      <c r="C127" s="431" t="s">
        <v>146</v>
      </c>
      <c r="D127" s="431" t="s">
        <v>147</v>
      </c>
      <c r="E127" s="434" t="s">
        <v>368</v>
      </c>
      <c r="F127" s="437">
        <v>45162</v>
      </c>
      <c r="G127" s="431" t="s">
        <v>240</v>
      </c>
      <c r="H127" s="440">
        <v>5200</v>
      </c>
      <c r="I127" s="443">
        <f>IF(X127 = 66, H127 + SUM(S127:S128) - SUM(T127:T128) - SUM(P127:P128) - V127,0)</f>
        <v>0</v>
      </c>
      <c r="J127" s="431" t="s">
        <v>241</v>
      </c>
      <c r="K127" s="431" t="s">
        <v>242</v>
      </c>
      <c r="L127" s="431" t="s">
        <v>146</v>
      </c>
      <c r="M127" s="431"/>
      <c r="N127" s="369"/>
      <c r="O127" s="437" t="s">
        <v>235</v>
      </c>
      <c r="P127" s="360">
        <v>1560</v>
      </c>
      <c r="Q127" s="361">
        <v>45173</v>
      </c>
      <c r="R127" s="362"/>
      <c r="S127" s="360"/>
      <c r="T127" s="360"/>
      <c r="U127" s="440"/>
      <c r="V127" s="452"/>
      <c r="W127" s="455"/>
      <c r="X127" s="107">
        <v>66</v>
      </c>
    </row>
    <row r="128" spans="1:24" s="349" customFormat="1" x14ac:dyDescent="0.3">
      <c r="A128" s="451"/>
      <c r="B128" s="433"/>
      <c r="C128" s="433"/>
      <c r="D128" s="433"/>
      <c r="E128" s="436"/>
      <c r="F128" s="439"/>
      <c r="G128" s="433"/>
      <c r="H128" s="442"/>
      <c r="I128" s="445"/>
      <c r="J128" s="433"/>
      <c r="K128" s="433"/>
      <c r="L128" s="433"/>
      <c r="M128" s="433"/>
      <c r="N128" s="371"/>
      <c r="O128" s="439"/>
      <c r="P128" s="366">
        <v>3640</v>
      </c>
      <c r="Q128" s="367">
        <v>45203</v>
      </c>
      <c r="R128" s="368"/>
      <c r="S128" s="366"/>
      <c r="T128" s="366"/>
      <c r="U128" s="442"/>
      <c r="V128" s="454"/>
      <c r="W128" s="457"/>
      <c r="X128" s="349">
        <v>66</v>
      </c>
    </row>
    <row r="129" spans="1:24" s="107" customFormat="1" ht="144" x14ac:dyDescent="0.3">
      <c r="A129" s="308">
        <v>46</v>
      </c>
      <c r="B129" s="305" t="s">
        <v>56</v>
      </c>
      <c r="C129" s="305" t="s">
        <v>146</v>
      </c>
      <c r="D129" s="305" t="s">
        <v>147</v>
      </c>
      <c r="E129" s="309">
        <v>8</v>
      </c>
      <c r="F129" s="323">
        <v>45163</v>
      </c>
      <c r="G129" s="305" t="s">
        <v>240</v>
      </c>
      <c r="H129" s="310">
        <v>8500</v>
      </c>
      <c r="I129" s="311">
        <f>IF(X129 = 67, H129 + SUM(S129:S129) - SUM(T129:T129) - SUM(P129:P129) - V129,0)</f>
        <v>0</v>
      </c>
      <c r="J129" s="305" t="s">
        <v>366</v>
      </c>
      <c r="K129" s="305" t="s">
        <v>367</v>
      </c>
      <c r="L129" s="305" t="s">
        <v>146</v>
      </c>
      <c r="M129" s="305"/>
      <c r="N129" s="323">
        <v>45163</v>
      </c>
      <c r="O129" s="323" t="s">
        <v>235</v>
      </c>
      <c r="P129" s="310">
        <v>8500</v>
      </c>
      <c r="Q129" s="313">
        <v>45175</v>
      </c>
      <c r="R129" s="305"/>
      <c r="S129" s="310"/>
      <c r="T129" s="310"/>
      <c r="U129" s="310"/>
      <c r="V129" s="312"/>
      <c r="W129" s="306"/>
      <c r="X129" s="107">
        <v>67</v>
      </c>
    </row>
    <row r="130" spans="1:24" s="107" customFormat="1" ht="144" x14ac:dyDescent="0.3">
      <c r="A130" s="330">
        <v>47</v>
      </c>
      <c r="B130" s="325" t="s">
        <v>56</v>
      </c>
      <c r="C130" s="325" t="s">
        <v>146</v>
      </c>
      <c r="D130" s="325" t="s">
        <v>147</v>
      </c>
      <c r="E130" s="327">
        <v>45173</v>
      </c>
      <c r="F130" s="334">
        <v>45173</v>
      </c>
      <c r="G130" s="325" t="s">
        <v>370</v>
      </c>
      <c r="H130" s="328">
        <v>8960</v>
      </c>
      <c r="I130" s="329">
        <f>IF(X130 = 68, H130 + SUM(S130:S130) - SUM(T130:T130) - SUM(P130:P130) - V130,0)</f>
        <v>0</v>
      </c>
      <c r="J130" s="325" t="s">
        <v>371</v>
      </c>
      <c r="K130" s="325" t="s">
        <v>372</v>
      </c>
      <c r="L130" s="325" t="s">
        <v>146</v>
      </c>
      <c r="M130" s="325"/>
      <c r="N130" s="334">
        <v>45173</v>
      </c>
      <c r="O130" s="334" t="s">
        <v>235</v>
      </c>
      <c r="P130" s="328">
        <v>8960</v>
      </c>
      <c r="Q130" s="333">
        <v>45175</v>
      </c>
      <c r="R130" s="325"/>
      <c r="S130" s="328"/>
      <c r="T130" s="328"/>
      <c r="U130" s="328"/>
      <c r="V130" s="331"/>
      <c r="W130" s="324"/>
      <c r="X130" s="107">
        <v>68</v>
      </c>
    </row>
    <row r="131" spans="1:24" s="107" customFormat="1" ht="144" x14ac:dyDescent="0.3">
      <c r="A131" s="330">
        <v>48</v>
      </c>
      <c r="B131" s="325" t="s">
        <v>378</v>
      </c>
      <c r="C131" s="325" t="s">
        <v>146</v>
      </c>
      <c r="D131" s="325" t="s">
        <v>147</v>
      </c>
      <c r="E131" s="327" t="s">
        <v>344</v>
      </c>
      <c r="F131" s="334">
        <v>45175</v>
      </c>
      <c r="G131" s="325" t="s">
        <v>379</v>
      </c>
      <c r="H131" s="328">
        <v>21768.5</v>
      </c>
      <c r="I131" s="329">
        <f>IF(X131 = 69, H131 + SUM(S131:S131) - SUM(T131:T131) - SUM(P131:P131) - V131,0)</f>
        <v>0</v>
      </c>
      <c r="J131" s="325" t="s">
        <v>380</v>
      </c>
      <c r="K131" s="325" t="s">
        <v>381</v>
      </c>
      <c r="L131" s="325" t="s">
        <v>146</v>
      </c>
      <c r="M131" s="325"/>
      <c r="N131" s="334">
        <v>45175</v>
      </c>
      <c r="O131" s="334" t="s">
        <v>235</v>
      </c>
      <c r="P131" s="328">
        <v>21768.5</v>
      </c>
      <c r="Q131" s="333">
        <v>45177</v>
      </c>
      <c r="R131" s="325"/>
      <c r="S131" s="328"/>
      <c r="T131" s="328"/>
      <c r="U131" s="328"/>
      <c r="V131" s="331"/>
      <c r="W131" s="324"/>
      <c r="X131" s="107">
        <v>69</v>
      </c>
    </row>
    <row r="132" spans="1:24" s="107" customFormat="1" ht="144" x14ac:dyDescent="0.3">
      <c r="A132" s="330">
        <v>49</v>
      </c>
      <c r="B132" s="325" t="s">
        <v>56</v>
      </c>
      <c r="C132" s="325" t="s">
        <v>146</v>
      </c>
      <c r="D132" s="325" t="s">
        <v>147</v>
      </c>
      <c r="E132" s="327">
        <v>8</v>
      </c>
      <c r="F132" s="334">
        <v>45182</v>
      </c>
      <c r="G132" s="325" t="s">
        <v>321</v>
      </c>
      <c r="H132" s="328">
        <v>20310</v>
      </c>
      <c r="I132" s="329">
        <f>IF(X132 = 70, H132 + SUM(S132:S132) - SUM(T132:T132) - SUM(P132:P132) - V132,0)</f>
        <v>0</v>
      </c>
      <c r="J132" s="325" t="s">
        <v>382</v>
      </c>
      <c r="K132" s="325" t="s">
        <v>259</v>
      </c>
      <c r="L132" s="325"/>
      <c r="M132" s="325"/>
      <c r="N132" s="334">
        <v>45188</v>
      </c>
      <c r="O132" s="334" t="s">
        <v>235</v>
      </c>
      <c r="P132" s="328">
        <v>20310</v>
      </c>
      <c r="Q132" s="333">
        <v>45189</v>
      </c>
      <c r="R132" s="325"/>
      <c r="S132" s="328"/>
      <c r="T132" s="328"/>
      <c r="U132" s="328"/>
      <c r="V132" s="331"/>
      <c r="W132" s="324"/>
      <c r="X132" s="107">
        <v>70</v>
      </c>
    </row>
    <row r="133" spans="1:24" s="107" customFormat="1" ht="144" x14ac:dyDescent="0.3">
      <c r="A133" s="330">
        <v>50</v>
      </c>
      <c r="B133" s="325" t="s">
        <v>56</v>
      </c>
      <c r="C133" s="325" t="s">
        <v>146</v>
      </c>
      <c r="D133" s="325" t="s">
        <v>147</v>
      </c>
      <c r="E133" s="326">
        <v>68</v>
      </c>
      <c r="F133" s="334">
        <v>45177</v>
      </c>
      <c r="G133" s="325" t="s">
        <v>383</v>
      </c>
      <c r="H133" s="328">
        <v>100000</v>
      </c>
      <c r="I133" s="329">
        <f>IF(X133 = 71, H133 + SUM(S133:S133) - SUM(T133:T133) - SUM(P133:P133) - V133,0)</f>
        <v>0</v>
      </c>
      <c r="J133" s="325" t="s">
        <v>384</v>
      </c>
      <c r="K133" s="325" t="s">
        <v>385</v>
      </c>
      <c r="L133" s="325"/>
      <c r="M133" s="325"/>
      <c r="N133" s="334"/>
      <c r="O133" s="334" t="s">
        <v>235</v>
      </c>
      <c r="P133" s="328">
        <v>100000</v>
      </c>
      <c r="Q133" s="333">
        <v>45177</v>
      </c>
      <c r="R133" s="325"/>
      <c r="S133" s="328"/>
      <c r="T133" s="328"/>
      <c r="U133" s="328"/>
      <c r="V133" s="331"/>
      <c r="W133" s="324"/>
      <c r="X133" s="107">
        <v>71</v>
      </c>
    </row>
    <row r="134" spans="1:24" s="107" customFormat="1" ht="144" x14ac:dyDescent="0.3">
      <c r="A134" s="350">
        <v>51</v>
      </c>
      <c r="B134" s="347" t="s">
        <v>56</v>
      </c>
      <c r="C134" s="347" t="s">
        <v>146</v>
      </c>
      <c r="D134" s="347" t="s">
        <v>147</v>
      </c>
      <c r="E134" s="358" t="s">
        <v>388</v>
      </c>
      <c r="F134" s="357">
        <v>45194</v>
      </c>
      <c r="G134" s="347" t="s">
        <v>389</v>
      </c>
      <c r="H134" s="352">
        <v>31250</v>
      </c>
      <c r="I134" s="353">
        <f>IF(X134 = 72, H134 + SUM(S134:S134) - SUM(T134:T134) - SUM(P134:P134) - V134,0)</f>
        <v>0</v>
      </c>
      <c r="J134" s="347" t="s">
        <v>322</v>
      </c>
      <c r="K134" s="347" t="s">
        <v>323</v>
      </c>
      <c r="L134" s="347"/>
      <c r="M134" s="347"/>
      <c r="N134" s="357">
        <v>45194</v>
      </c>
      <c r="O134" s="357" t="s">
        <v>235</v>
      </c>
      <c r="P134" s="352">
        <v>31250</v>
      </c>
      <c r="Q134" s="351">
        <v>45203</v>
      </c>
      <c r="R134" s="347"/>
      <c r="S134" s="352"/>
      <c r="T134" s="352"/>
      <c r="U134" s="352"/>
      <c r="V134" s="359"/>
      <c r="W134" s="348"/>
      <c r="X134" s="107">
        <v>72</v>
      </c>
    </row>
    <row r="135" spans="1:24" s="107" customFormat="1" ht="144" x14ac:dyDescent="0.3">
      <c r="A135" s="350">
        <v>52</v>
      </c>
      <c r="B135" s="347" t="s">
        <v>56</v>
      </c>
      <c r="C135" s="347" t="s">
        <v>146</v>
      </c>
      <c r="D135" s="347" t="s">
        <v>147</v>
      </c>
      <c r="E135" s="358" t="s">
        <v>392</v>
      </c>
      <c r="F135" s="357">
        <v>45203</v>
      </c>
      <c r="G135" s="347" t="s">
        <v>393</v>
      </c>
      <c r="H135" s="352">
        <v>10000</v>
      </c>
      <c r="I135" s="353">
        <f>IF(X135 = 73, H135 + SUM(S135:S135) - SUM(T135:T135) - SUM(P135:P135) - V135,0)</f>
        <v>0</v>
      </c>
      <c r="J135" s="347" t="s">
        <v>263</v>
      </c>
      <c r="K135" s="347" t="s">
        <v>264</v>
      </c>
      <c r="L135" s="347"/>
      <c r="M135" s="347"/>
      <c r="N135" s="357"/>
      <c r="O135" s="357" t="s">
        <v>235</v>
      </c>
      <c r="P135" s="352">
        <v>10000</v>
      </c>
      <c r="Q135" s="351">
        <v>45205</v>
      </c>
      <c r="R135" s="347"/>
      <c r="S135" s="352"/>
      <c r="T135" s="352"/>
      <c r="U135" s="352"/>
      <c r="V135" s="359"/>
      <c r="W135" s="348"/>
      <c r="X135" s="107">
        <v>73</v>
      </c>
    </row>
    <row r="136" spans="1:24" s="107" customFormat="1" ht="144" x14ac:dyDescent="0.3">
      <c r="A136" s="350">
        <v>53</v>
      </c>
      <c r="B136" s="347" t="s">
        <v>56</v>
      </c>
      <c r="C136" s="347" t="s">
        <v>146</v>
      </c>
      <c r="D136" s="347" t="s">
        <v>147</v>
      </c>
      <c r="E136" s="358" t="s">
        <v>394</v>
      </c>
      <c r="F136" s="357">
        <v>45203</v>
      </c>
      <c r="G136" s="347" t="s">
        <v>395</v>
      </c>
      <c r="H136" s="352">
        <v>35000</v>
      </c>
      <c r="I136" s="353">
        <f>IF(X136 = 74, H136 + SUM(S136:S136) - SUM(T136:T136) - SUM(P136:P136) - V136,0)</f>
        <v>0</v>
      </c>
      <c r="J136" s="347" t="s">
        <v>263</v>
      </c>
      <c r="K136" s="347" t="s">
        <v>264</v>
      </c>
      <c r="L136" s="347"/>
      <c r="M136" s="347"/>
      <c r="N136" s="357"/>
      <c r="O136" s="357" t="s">
        <v>235</v>
      </c>
      <c r="P136" s="352">
        <v>35000</v>
      </c>
      <c r="Q136" s="351">
        <v>45205</v>
      </c>
      <c r="R136" s="347"/>
      <c r="S136" s="352"/>
      <c r="T136" s="352"/>
      <c r="U136" s="352"/>
      <c r="V136" s="359"/>
      <c r="W136" s="348"/>
      <c r="X136" s="107">
        <v>74</v>
      </c>
    </row>
    <row r="137" spans="1:24" s="107" customFormat="1" ht="144" x14ac:dyDescent="0.3">
      <c r="A137" s="350">
        <v>54</v>
      </c>
      <c r="B137" s="347" t="s">
        <v>56</v>
      </c>
      <c r="C137" s="347" t="s">
        <v>146</v>
      </c>
      <c r="D137" s="347" t="s">
        <v>147</v>
      </c>
      <c r="E137" s="358" t="s">
        <v>397</v>
      </c>
      <c r="F137" s="357">
        <v>45203</v>
      </c>
      <c r="G137" s="347" t="s">
        <v>396</v>
      </c>
      <c r="H137" s="352">
        <v>25000</v>
      </c>
      <c r="I137" s="353">
        <f>IF(X137 = 75, H137 + SUM(S137:S137) - SUM(T137:T137) - SUM(P137:P137) - V137,0)</f>
        <v>0</v>
      </c>
      <c r="J137" s="347" t="s">
        <v>263</v>
      </c>
      <c r="K137" s="347" t="s">
        <v>264</v>
      </c>
      <c r="L137" s="347"/>
      <c r="M137" s="347"/>
      <c r="N137" s="357"/>
      <c r="O137" s="357" t="s">
        <v>235</v>
      </c>
      <c r="P137" s="352">
        <v>25000</v>
      </c>
      <c r="Q137" s="351">
        <v>45205</v>
      </c>
      <c r="R137" s="347"/>
      <c r="S137" s="352"/>
      <c r="T137" s="352"/>
      <c r="U137" s="352"/>
      <c r="V137" s="359"/>
      <c r="W137" s="348"/>
      <c r="X137" s="107">
        <v>75</v>
      </c>
    </row>
    <row r="138" spans="1:24" s="107" customFormat="1" ht="144" x14ac:dyDescent="0.3">
      <c r="A138" s="350">
        <v>55</v>
      </c>
      <c r="B138" s="347" t="s">
        <v>56</v>
      </c>
      <c r="C138" s="347" t="s">
        <v>146</v>
      </c>
      <c r="D138" s="347" t="s">
        <v>147</v>
      </c>
      <c r="E138" s="358" t="s">
        <v>398</v>
      </c>
      <c r="F138" s="357">
        <v>45210</v>
      </c>
      <c r="G138" s="347" t="s">
        <v>326</v>
      </c>
      <c r="H138" s="352">
        <v>109715</v>
      </c>
      <c r="I138" s="353">
        <f>IF(X138 = 76, H138 + SUM(S138:S138) - SUM(T138:T138) - SUM(P138:P138) - V138,0)</f>
        <v>109715</v>
      </c>
      <c r="J138" s="347" t="s">
        <v>327</v>
      </c>
      <c r="K138" s="347" t="s">
        <v>328</v>
      </c>
      <c r="L138" s="347"/>
      <c r="M138" s="347"/>
      <c r="N138" s="357"/>
      <c r="O138" s="357" t="s">
        <v>181</v>
      </c>
      <c r="P138" s="352"/>
      <c r="Q138" s="351"/>
      <c r="R138" s="347"/>
      <c r="S138" s="352"/>
      <c r="T138" s="352"/>
      <c r="U138" s="352"/>
      <c r="V138" s="359"/>
      <c r="W138" s="348"/>
      <c r="X138" s="107">
        <v>76</v>
      </c>
    </row>
    <row r="139" spans="1:24" s="107" customFormat="1" ht="144" x14ac:dyDescent="0.3">
      <c r="A139" s="350">
        <v>56</v>
      </c>
      <c r="B139" s="347" t="s">
        <v>56</v>
      </c>
      <c r="C139" s="347" t="s">
        <v>146</v>
      </c>
      <c r="D139" s="347" t="s">
        <v>147</v>
      </c>
      <c r="E139" s="358" t="s">
        <v>399</v>
      </c>
      <c r="F139" s="357">
        <v>45210</v>
      </c>
      <c r="G139" s="347" t="s">
        <v>326</v>
      </c>
      <c r="H139" s="352">
        <v>18155</v>
      </c>
      <c r="I139" s="353">
        <f>IF(X139 = 77, H139 + SUM(S139:S139) - SUM(T139:T139) - SUM(P139:P139) - V139,0)</f>
        <v>18155</v>
      </c>
      <c r="J139" s="347" t="s">
        <v>327</v>
      </c>
      <c r="K139" s="347" t="s">
        <v>328</v>
      </c>
      <c r="L139" s="347"/>
      <c r="M139" s="347"/>
      <c r="N139" s="357"/>
      <c r="O139" s="357" t="s">
        <v>181</v>
      </c>
      <c r="P139" s="352"/>
      <c r="Q139" s="351"/>
      <c r="R139" s="347"/>
      <c r="S139" s="352"/>
      <c r="T139" s="352"/>
      <c r="U139" s="352"/>
      <c r="V139" s="359"/>
      <c r="W139" s="348"/>
      <c r="X139" s="107">
        <v>77</v>
      </c>
    </row>
    <row r="140" spans="1:24" s="107" customFormat="1" ht="144" x14ac:dyDescent="0.3">
      <c r="A140" s="350">
        <v>57</v>
      </c>
      <c r="B140" s="347" t="s">
        <v>56</v>
      </c>
      <c r="C140" s="347" t="s">
        <v>146</v>
      </c>
      <c r="D140" s="347" t="s">
        <v>147</v>
      </c>
      <c r="E140" s="358" t="s">
        <v>401</v>
      </c>
      <c r="F140" s="357">
        <v>45218</v>
      </c>
      <c r="G140" s="347" t="s">
        <v>308</v>
      </c>
      <c r="H140" s="352">
        <v>7626.25</v>
      </c>
      <c r="I140" s="353">
        <f>IF(X140 = 78, H140 + SUM(S140:S140) - SUM(T140:T140) - SUM(P140:P140) - V140,0)</f>
        <v>7626.25</v>
      </c>
      <c r="J140" s="347" t="s">
        <v>309</v>
      </c>
      <c r="K140" s="347" t="s">
        <v>310</v>
      </c>
      <c r="L140" s="347"/>
      <c r="M140" s="347"/>
      <c r="N140" s="357"/>
      <c r="O140" s="357" t="s">
        <v>235</v>
      </c>
      <c r="P140" s="352"/>
      <c r="Q140" s="351"/>
      <c r="R140" s="347"/>
      <c r="S140" s="352"/>
      <c r="T140" s="352"/>
      <c r="U140" s="352"/>
      <c r="V140" s="359"/>
      <c r="W140" s="348"/>
      <c r="X140" s="107">
        <v>78</v>
      </c>
    </row>
    <row r="141" spans="1:24" x14ac:dyDescent="0.3">
      <c r="A141" s="14"/>
      <c r="B141" s="109"/>
      <c r="C141" s="14"/>
      <c r="D141" s="14"/>
      <c r="E141" s="29"/>
      <c r="F141" s="14"/>
      <c r="G141" s="14"/>
      <c r="H141" s="15"/>
      <c r="I141" s="15"/>
      <c r="J141" s="14"/>
      <c r="K141" s="14"/>
      <c r="L141" s="14"/>
      <c r="M141" s="14"/>
      <c r="N141" s="29"/>
      <c r="O141" s="14"/>
      <c r="P141" s="104"/>
      <c r="Q141" s="29"/>
      <c r="R141" s="16"/>
      <c r="S141" s="16"/>
      <c r="T141" s="16"/>
      <c r="U141" s="29"/>
      <c r="V141" s="104"/>
      <c r="W141" s="16"/>
      <c r="X141" s="8">
        <v>79</v>
      </c>
    </row>
    <row r="142" spans="1:24" s="2" customFormat="1" x14ac:dyDescent="0.3">
      <c r="A142" s="41"/>
      <c r="B142" s="110"/>
      <c r="C142" s="41"/>
      <c r="D142" s="41"/>
      <c r="E142" s="42"/>
      <c r="F142" s="41"/>
      <c r="G142" s="41"/>
      <c r="H142" s="44"/>
      <c r="I142" s="44"/>
      <c r="J142" s="41"/>
      <c r="K142" s="41"/>
      <c r="L142" s="41"/>
      <c r="M142" s="41"/>
      <c r="N142" s="42"/>
      <c r="O142" s="41"/>
      <c r="P142" s="40"/>
      <c r="Q142" s="42"/>
      <c r="U142" s="42"/>
      <c r="V142" s="40"/>
    </row>
    <row r="143" spans="1:24" s="2" customFormat="1" x14ac:dyDescent="0.3">
      <c r="A143" s="41"/>
      <c r="B143" s="110"/>
      <c r="C143" s="41"/>
      <c r="D143" s="41"/>
      <c r="E143" s="42"/>
      <c r="F143" s="41"/>
      <c r="G143" s="41"/>
      <c r="H143" s="44"/>
      <c r="I143" s="44"/>
      <c r="J143" s="41"/>
      <c r="K143" s="41"/>
      <c r="L143" s="41"/>
      <c r="M143" s="41"/>
      <c r="N143" s="42"/>
      <c r="O143" s="41"/>
      <c r="P143" s="40"/>
      <c r="Q143" s="42"/>
      <c r="U143" s="42"/>
      <c r="V143" s="40"/>
    </row>
    <row r="144" spans="1:24" s="2" customFormat="1" x14ac:dyDescent="0.3">
      <c r="A144" s="41"/>
      <c r="B144" s="110"/>
      <c r="C144" s="41"/>
      <c r="D144" s="41"/>
      <c r="E144" s="42"/>
      <c r="F144" s="41"/>
      <c r="G144" s="41"/>
      <c r="H144" s="44"/>
      <c r="I144" s="44"/>
      <c r="J144" s="41"/>
      <c r="K144" s="41"/>
      <c r="L144" s="41"/>
      <c r="M144" s="41"/>
      <c r="N144" s="42"/>
      <c r="O144" s="41"/>
      <c r="P144" s="40"/>
      <c r="Q144" s="42"/>
      <c r="U144" s="42"/>
      <c r="V144" s="40"/>
    </row>
    <row r="145" spans="1:22" s="2" customFormat="1" x14ac:dyDescent="0.3">
      <c r="A145" s="41"/>
      <c r="B145" s="110"/>
      <c r="C145" s="41"/>
      <c r="D145" s="41"/>
      <c r="E145" s="42"/>
      <c r="F145" s="41"/>
      <c r="G145" s="41"/>
      <c r="H145" s="44"/>
      <c r="I145" s="44"/>
      <c r="J145" s="41"/>
      <c r="K145" s="41"/>
      <c r="L145" s="41"/>
      <c r="M145" s="41"/>
      <c r="N145" s="42"/>
      <c r="O145" s="41"/>
      <c r="P145" s="40"/>
      <c r="Q145" s="42"/>
      <c r="U145" s="42"/>
      <c r="V145" s="40"/>
    </row>
    <row r="146" spans="1:22" s="2" customFormat="1" x14ac:dyDescent="0.3">
      <c r="A146" s="41"/>
      <c r="B146" s="110"/>
      <c r="C146" s="41"/>
      <c r="D146" s="41"/>
      <c r="E146" s="42"/>
      <c r="F146" s="41"/>
      <c r="G146" s="41"/>
      <c r="H146" s="44"/>
      <c r="I146" s="44"/>
      <c r="J146" s="41"/>
      <c r="K146" s="41"/>
      <c r="L146" s="41"/>
      <c r="M146" s="41"/>
      <c r="N146" s="42"/>
      <c r="O146" s="41"/>
      <c r="P146" s="40"/>
      <c r="Q146" s="42"/>
      <c r="U146" s="42"/>
      <c r="V146" s="40"/>
    </row>
  </sheetData>
  <sheetProtection password="EB34" sheet="1" objects="1" scenarios="1" formatCells="0" formatColumns="0" formatRows="0"/>
  <mergeCells count="296">
    <mergeCell ref="A90:A91"/>
    <mergeCell ref="O90:O91"/>
    <mergeCell ref="U90:U91"/>
    <mergeCell ref="B90:B91"/>
    <mergeCell ref="H20:H28"/>
    <mergeCell ref="I20:I28"/>
    <mergeCell ref="W43:W51"/>
    <mergeCell ref="W29:W37"/>
    <mergeCell ref="A114:A116"/>
    <mergeCell ref="O114:O116"/>
    <mergeCell ref="U114:U116"/>
    <mergeCell ref="B114:B116"/>
    <mergeCell ref="V114:V116"/>
    <mergeCell ref="C114:C116"/>
    <mergeCell ref="W114:W116"/>
    <mergeCell ref="A110:A111"/>
    <mergeCell ref="O110:O111"/>
    <mergeCell ref="U110:U111"/>
    <mergeCell ref="B110:B111"/>
    <mergeCell ref="V110:V111"/>
    <mergeCell ref="C110:C111"/>
    <mergeCell ref="A106:A107"/>
    <mergeCell ref="O106:O107"/>
    <mergeCell ref="U106:U107"/>
    <mergeCell ref="B106:B107"/>
    <mergeCell ref="W110:W111"/>
    <mergeCell ref="D110:D111"/>
    <mergeCell ref="E110:E111"/>
    <mergeCell ref="F110:F111"/>
    <mergeCell ref="G110:G111"/>
    <mergeCell ref="H110:H111"/>
    <mergeCell ref="I110:I111"/>
    <mergeCell ref="J110:J111"/>
    <mergeCell ref="K110:K111"/>
    <mergeCell ref="L110:L111"/>
    <mergeCell ref="M110:M111"/>
    <mergeCell ref="A52:A54"/>
    <mergeCell ref="B52:B54"/>
    <mergeCell ref="F52:F54"/>
    <mergeCell ref="G52:G54"/>
    <mergeCell ref="H52:H54"/>
    <mergeCell ref="I52:I54"/>
    <mergeCell ref="J52:J54"/>
    <mergeCell ref="K52:K54"/>
    <mergeCell ref="L52:L54"/>
    <mergeCell ref="V106:V107"/>
    <mergeCell ref="C106:C107"/>
    <mergeCell ref="W106:W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A88:A89"/>
    <mergeCell ref="O88:O89"/>
    <mergeCell ref="U88:U89"/>
    <mergeCell ref="B88:B89"/>
    <mergeCell ref="V88:V89"/>
    <mergeCell ref="C88:C89"/>
    <mergeCell ref="W88:W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A16:A19"/>
    <mergeCell ref="U16:U19"/>
    <mergeCell ref="B16:B19"/>
    <mergeCell ref="W16:W19"/>
    <mergeCell ref="C16:C19"/>
    <mergeCell ref="D16:D19"/>
    <mergeCell ref="E16:E19"/>
    <mergeCell ref="F16:F19"/>
    <mergeCell ref="G16:G19"/>
    <mergeCell ref="O16:O19"/>
    <mergeCell ref="A3:E3"/>
    <mergeCell ref="S2:U2"/>
    <mergeCell ref="N2:O2"/>
    <mergeCell ref="J4:K4"/>
    <mergeCell ref="M4:N4"/>
    <mergeCell ref="O4:P4"/>
    <mergeCell ref="K2:M2"/>
    <mergeCell ref="A9:A11"/>
    <mergeCell ref="B9:B11"/>
    <mergeCell ref="D9:D11"/>
    <mergeCell ref="E9:E11"/>
    <mergeCell ref="F9:F11"/>
    <mergeCell ref="G9:G11"/>
    <mergeCell ref="H9:H11"/>
    <mergeCell ref="I9:I11"/>
    <mergeCell ref="C9:C11"/>
    <mergeCell ref="W9:W11"/>
    <mergeCell ref="A12:A15"/>
    <mergeCell ref="O12:O15"/>
    <mergeCell ref="U12:U15"/>
    <mergeCell ref="B12:B15"/>
    <mergeCell ref="C12:C15"/>
    <mergeCell ref="D12:D15"/>
    <mergeCell ref="E12:E15"/>
    <mergeCell ref="F12:F15"/>
    <mergeCell ref="G12:G15"/>
    <mergeCell ref="J12:J15"/>
    <mergeCell ref="K12:K15"/>
    <mergeCell ref="L12:L15"/>
    <mergeCell ref="M12:M15"/>
    <mergeCell ref="V12:V15"/>
    <mergeCell ref="W12:W15"/>
    <mergeCell ref="H12:H15"/>
    <mergeCell ref="I12:I15"/>
    <mergeCell ref="V16:V19"/>
    <mergeCell ref="M16:M19"/>
    <mergeCell ref="O9:O11"/>
    <mergeCell ref="U9:U11"/>
    <mergeCell ref="V9:V11"/>
    <mergeCell ref="M88:M89"/>
    <mergeCell ref="O52:O54"/>
    <mergeCell ref="U52:U54"/>
    <mergeCell ref="V52:V54"/>
    <mergeCell ref="C52:C54"/>
    <mergeCell ref="W52:W54"/>
    <mergeCell ref="D52:D54"/>
    <mergeCell ref="E52:E54"/>
    <mergeCell ref="H16:H19"/>
    <mergeCell ref="I16:I19"/>
    <mergeCell ref="J16:J19"/>
    <mergeCell ref="K16:K19"/>
    <mergeCell ref="L16:L19"/>
    <mergeCell ref="V20:V28"/>
    <mergeCell ref="C20:C28"/>
    <mergeCell ref="W20:W28"/>
    <mergeCell ref="D20:D28"/>
    <mergeCell ref="E20:E28"/>
    <mergeCell ref="F20:F28"/>
    <mergeCell ref="G20:G28"/>
    <mergeCell ref="M52:M54"/>
    <mergeCell ref="V90:V91"/>
    <mergeCell ref="C90:C91"/>
    <mergeCell ref="W90:W91"/>
    <mergeCell ref="D90:D91"/>
    <mergeCell ref="E90:E91"/>
    <mergeCell ref="F90:F91"/>
    <mergeCell ref="G90:G91"/>
    <mergeCell ref="H90:H91"/>
    <mergeCell ref="I90:I91"/>
    <mergeCell ref="J90:J91"/>
    <mergeCell ref="K90:K91"/>
    <mergeCell ref="L90:L91"/>
    <mergeCell ref="M90:M91"/>
    <mergeCell ref="J9:J11"/>
    <mergeCell ref="K9:K11"/>
    <mergeCell ref="L9:L11"/>
    <mergeCell ref="M9:M11"/>
    <mergeCell ref="A43:A51"/>
    <mergeCell ref="O43:O51"/>
    <mergeCell ref="U43:U51"/>
    <mergeCell ref="B43:B51"/>
    <mergeCell ref="V43:V51"/>
    <mergeCell ref="C43:C51"/>
    <mergeCell ref="D43:D51"/>
    <mergeCell ref="E43:E51"/>
    <mergeCell ref="F43:F51"/>
    <mergeCell ref="G43:G51"/>
    <mergeCell ref="H43:H51"/>
    <mergeCell ref="I43:I51"/>
    <mergeCell ref="J43:J51"/>
    <mergeCell ref="K43:K51"/>
    <mergeCell ref="L43:L51"/>
    <mergeCell ref="M43:M51"/>
    <mergeCell ref="A20:A28"/>
    <mergeCell ref="O20:O28"/>
    <mergeCell ref="U20:U28"/>
    <mergeCell ref="B20:B28"/>
    <mergeCell ref="A127:A128"/>
    <mergeCell ref="O127:O128"/>
    <mergeCell ref="U127:U128"/>
    <mergeCell ref="B127:B128"/>
    <mergeCell ref="V127:V128"/>
    <mergeCell ref="C127:C128"/>
    <mergeCell ref="W127:W128"/>
    <mergeCell ref="D127:D128"/>
    <mergeCell ref="E127:E128"/>
    <mergeCell ref="F127:F128"/>
    <mergeCell ref="G127:G128"/>
    <mergeCell ref="H127:H128"/>
    <mergeCell ref="I127:I128"/>
    <mergeCell ref="J127:J128"/>
    <mergeCell ref="K127:K128"/>
    <mergeCell ref="L127:L128"/>
    <mergeCell ref="M127:M128"/>
    <mergeCell ref="J20:J28"/>
    <mergeCell ref="K20:K28"/>
    <mergeCell ref="L20:L28"/>
    <mergeCell ref="M20:M28"/>
    <mergeCell ref="A29:A37"/>
    <mergeCell ref="O29:O37"/>
    <mergeCell ref="U29:U37"/>
    <mergeCell ref="B29:B37"/>
    <mergeCell ref="V29:V37"/>
    <mergeCell ref="C29:C37"/>
    <mergeCell ref="D29:D37"/>
    <mergeCell ref="E29:E37"/>
    <mergeCell ref="F29:F37"/>
    <mergeCell ref="G29:G37"/>
    <mergeCell ref="H29:H37"/>
    <mergeCell ref="I29:I37"/>
    <mergeCell ref="J29:J37"/>
    <mergeCell ref="K29:K37"/>
    <mergeCell ref="L29:L37"/>
    <mergeCell ref="M29:M37"/>
    <mergeCell ref="A38:A42"/>
    <mergeCell ref="O38:O42"/>
    <mergeCell ref="U38:U42"/>
    <mergeCell ref="B38:B42"/>
    <mergeCell ref="V38:V42"/>
    <mergeCell ref="C38:C42"/>
    <mergeCell ref="W38:W42"/>
    <mergeCell ref="D38:D42"/>
    <mergeCell ref="E38:E42"/>
    <mergeCell ref="F38:F42"/>
    <mergeCell ref="G38:G42"/>
    <mergeCell ref="H38:H42"/>
    <mergeCell ref="I38:I42"/>
    <mergeCell ref="J38:J42"/>
    <mergeCell ref="K38:K42"/>
    <mergeCell ref="L38:L42"/>
    <mergeCell ref="M38:M42"/>
    <mergeCell ref="A124:A125"/>
    <mergeCell ref="O124:O125"/>
    <mergeCell ref="U124:U125"/>
    <mergeCell ref="B124:B125"/>
    <mergeCell ref="V124:V125"/>
    <mergeCell ref="C124:C125"/>
    <mergeCell ref="W124:W125"/>
    <mergeCell ref="D124:D125"/>
    <mergeCell ref="E124:E125"/>
    <mergeCell ref="F124:F125"/>
    <mergeCell ref="G124:G125"/>
    <mergeCell ref="H124:H125"/>
    <mergeCell ref="I124:I125"/>
    <mergeCell ref="J124:J125"/>
    <mergeCell ref="K124:K125"/>
    <mergeCell ref="L124:L125"/>
    <mergeCell ref="M124:M125"/>
    <mergeCell ref="A92:A95"/>
    <mergeCell ref="O92:O95"/>
    <mergeCell ref="U92:U95"/>
    <mergeCell ref="B92:B95"/>
    <mergeCell ref="V92:V95"/>
    <mergeCell ref="C92:C95"/>
    <mergeCell ref="W92:W95"/>
    <mergeCell ref="D92:D95"/>
    <mergeCell ref="E92:E95"/>
    <mergeCell ref="F92:F95"/>
    <mergeCell ref="G92:G95"/>
    <mergeCell ref="H92:H95"/>
    <mergeCell ref="I92:I95"/>
    <mergeCell ref="J92:J95"/>
    <mergeCell ref="K92:K95"/>
    <mergeCell ref="L92:L95"/>
    <mergeCell ref="M92:M95"/>
    <mergeCell ref="A56:A82"/>
    <mergeCell ref="O56:O82"/>
    <mergeCell ref="U56:U82"/>
    <mergeCell ref="B56:B82"/>
    <mergeCell ref="V56:V82"/>
    <mergeCell ref="C56:C82"/>
    <mergeCell ref="W56:W82"/>
    <mergeCell ref="D56:D82"/>
    <mergeCell ref="E56:E82"/>
    <mergeCell ref="F56:F82"/>
    <mergeCell ref="G56:G82"/>
    <mergeCell ref="H56:H82"/>
    <mergeCell ref="I56:I82"/>
    <mergeCell ref="J56:J82"/>
    <mergeCell ref="K56:K82"/>
    <mergeCell ref="L56:L82"/>
    <mergeCell ref="M56:M82"/>
    <mergeCell ref="M114:M116"/>
    <mergeCell ref="D114:D116"/>
    <mergeCell ref="E114:E116"/>
    <mergeCell ref="F114:F116"/>
    <mergeCell ref="G114:G116"/>
    <mergeCell ref="H114:H116"/>
    <mergeCell ref="I114:I116"/>
    <mergeCell ref="J114:J116"/>
    <mergeCell ref="K114:K116"/>
    <mergeCell ref="L114:L11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57"/>
  <sheetViews>
    <sheetView showGridLines="0" tabSelected="1" topLeftCell="E1" zoomScale="50" zoomScaleNormal="50" workbookViewId="0">
      <pane ySplit="8" topLeftCell="A153" activePane="bottomLeft" state="frozen"/>
      <selection pane="bottomLeft" activeCell="N154" sqref="N154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668" t="s">
        <v>24</v>
      </c>
      <c r="G2" s="669"/>
      <c r="H2" s="98">
        <f>SUM(H9:H10005)</f>
        <v>3238542.46</v>
      </c>
      <c r="I2" s="86"/>
      <c r="J2" s="39"/>
      <c r="N2" s="523" t="s">
        <v>137</v>
      </c>
      <c r="O2" s="525"/>
      <c r="P2" s="87">
        <f>SUM(P9:P10005)</f>
        <v>2197840.8200000003</v>
      </c>
      <c r="R2" s="86"/>
      <c r="S2" s="523" t="s">
        <v>45</v>
      </c>
      <c r="T2" s="524"/>
      <c r="U2" s="525"/>
      <c r="V2" s="88">
        <f>SUM(V9:V10005)</f>
        <v>271978.76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44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8" customFormat="1" ht="131.25" customHeight="1" x14ac:dyDescent="0.3">
      <c r="A9" s="548">
        <v>1</v>
      </c>
      <c r="B9" s="475" t="s">
        <v>56</v>
      </c>
      <c r="C9" s="475" t="s">
        <v>179</v>
      </c>
      <c r="D9" s="475" t="s">
        <v>147</v>
      </c>
      <c r="E9" s="475" t="s">
        <v>36</v>
      </c>
      <c r="F9" s="550">
        <v>44921</v>
      </c>
      <c r="G9" s="606" t="s">
        <v>180</v>
      </c>
      <c r="H9" s="552">
        <v>494000</v>
      </c>
      <c r="I9" s="560">
        <f>IF(X9 = 18, H9 + SUM(S9:S11) - SUM(T9:T11) - SUM(P9:P11) - V9,0)</f>
        <v>219413.41999999998</v>
      </c>
      <c r="J9" s="611">
        <v>2310195709</v>
      </c>
      <c r="K9" s="614" t="s">
        <v>170</v>
      </c>
      <c r="L9" s="475" t="s">
        <v>146</v>
      </c>
      <c r="M9" s="475" t="s">
        <v>183</v>
      </c>
      <c r="N9" s="197">
        <v>44957</v>
      </c>
      <c r="O9" s="550" t="s">
        <v>181</v>
      </c>
      <c r="P9" s="188">
        <v>92510.53</v>
      </c>
      <c r="Q9" s="189">
        <v>44965</v>
      </c>
      <c r="R9" s="190"/>
      <c r="S9" s="188"/>
      <c r="T9" s="188"/>
      <c r="U9" s="552"/>
      <c r="V9" s="634"/>
      <c r="W9" s="556"/>
      <c r="X9" s="108">
        <v>18</v>
      </c>
    </row>
    <row r="10" spans="1:24" s="2" customFormat="1" x14ac:dyDescent="0.3">
      <c r="A10" s="632"/>
      <c r="B10" s="633"/>
      <c r="C10" s="633"/>
      <c r="D10" s="633"/>
      <c r="E10" s="633"/>
      <c r="F10" s="605"/>
      <c r="G10" s="607"/>
      <c r="H10" s="609"/>
      <c r="I10" s="610"/>
      <c r="J10" s="612"/>
      <c r="K10" s="615"/>
      <c r="L10" s="633"/>
      <c r="M10" s="633"/>
      <c r="N10" s="198">
        <v>44985</v>
      </c>
      <c r="O10" s="605"/>
      <c r="P10" s="191">
        <v>81376.05</v>
      </c>
      <c r="Q10" s="192">
        <v>44995</v>
      </c>
      <c r="R10" s="193"/>
      <c r="S10" s="191"/>
      <c r="T10" s="191"/>
      <c r="U10" s="609"/>
      <c r="V10" s="635"/>
      <c r="W10" s="627"/>
      <c r="X10" s="2">
        <v>18</v>
      </c>
    </row>
    <row r="11" spans="1:24" s="2" customFormat="1" x14ac:dyDescent="0.3">
      <c r="A11" s="549"/>
      <c r="B11" s="476"/>
      <c r="C11" s="476"/>
      <c r="D11" s="476"/>
      <c r="E11" s="476"/>
      <c r="F11" s="551"/>
      <c r="G11" s="608"/>
      <c r="H11" s="553"/>
      <c r="I11" s="561"/>
      <c r="J11" s="613"/>
      <c r="K11" s="616"/>
      <c r="L11" s="476"/>
      <c r="M11" s="476"/>
      <c r="N11" s="199">
        <v>45016</v>
      </c>
      <c r="O11" s="551"/>
      <c r="P11" s="194">
        <v>100700</v>
      </c>
      <c r="Q11" s="195">
        <v>45028</v>
      </c>
      <c r="R11" s="196"/>
      <c r="S11" s="194"/>
      <c r="T11" s="194"/>
      <c r="U11" s="553"/>
      <c r="V11" s="636"/>
      <c r="W11" s="557"/>
      <c r="X11" s="2">
        <v>18</v>
      </c>
    </row>
    <row r="12" spans="1:24" s="108" customFormat="1" ht="37.5" customHeight="1" x14ac:dyDescent="0.3">
      <c r="A12" s="721">
        <v>2</v>
      </c>
      <c r="B12" s="730" t="s">
        <v>56</v>
      </c>
      <c r="C12" s="730" t="s">
        <v>146</v>
      </c>
      <c r="D12" s="730" t="s">
        <v>147</v>
      </c>
      <c r="E12" s="730" t="s">
        <v>119</v>
      </c>
      <c r="F12" s="724">
        <v>44925</v>
      </c>
      <c r="G12" s="739" t="s">
        <v>182</v>
      </c>
      <c r="H12" s="727">
        <v>30439.68</v>
      </c>
      <c r="I12" s="742">
        <f>IF(X12 = 19, H12 + SUM(S12:S20) - SUM(T12:T20) - SUM(P12:P20) - V12,0)</f>
        <v>7256.75</v>
      </c>
      <c r="J12" s="745">
        <v>2353246210</v>
      </c>
      <c r="K12" s="748" t="s">
        <v>151</v>
      </c>
      <c r="L12" s="730" t="s">
        <v>146</v>
      </c>
      <c r="M12" s="730"/>
      <c r="N12" s="344">
        <v>44943</v>
      </c>
      <c r="O12" s="724" t="s">
        <v>184</v>
      </c>
      <c r="P12" s="335">
        <v>4402.93</v>
      </c>
      <c r="Q12" s="336">
        <v>44963</v>
      </c>
      <c r="R12" s="337"/>
      <c r="S12" s="335"/>
      <c r="T12" s="335"/>
      <c r="U12" s="727"/>
      <c r="V12" s="733"/>
      <c r="W12" s="736"/>
      <c r="X12" s="108">
        <v>19</v>
      </c>
    </row>
    <row r="13" spans="1:24" s="2" customFormat="1" x14ac:dyDescent="0.3">
      <c r="A13" s="722"/>
      <c r="B13" s="731"/>
      <c r="C13" s="731"/>
      <c r="D13" s="731"/>
      <c r="E13" s="731"/>
      <c r="F13" s="725"/>
      <c r="G13" s="740"/>
      <c r="H13" s="728"/>
      <c r="I13" s="743"/>
      <c r="J13" s="746"/>
      <c r="K13" s="749"/>
      <c r="L13" s="731"/>
      <c r="M13" s="731"/>
      <c r="N13" s="345">
        <v>44972</v>
      </c>
      <c r="O13" s="725"/>
      <c r="P13" s="338">
        <v>2967.24</v>
      </c>
      <c r="Q13" s="339">
        <v>45005</v>
      </c>
      <c r="R13" s="340"/>
      <c r="S13" s="338"/>
      <c r="T13" s="338"/>
      <c r="U13" s="728"/>
      <c r="V13" s="734"/>
      <c r="W13" s="737"/>
      <c r="X13" s="2">
        <v>19</v>
      </c>
    </row>
    <row r="14" spans="1:24" s="2" customFormat="1" x14ac:dyDescent="0.3">
      <c r="A14" s="722"/>
      <c r="B14" s="731"/>
      <c r="C14" s="731"/>
      <c r="D14" s="731"/>
      <c r="E14" s="731"/>
      <c r="F14" s="725"/>
      <c r="G14" s="740"/>
      <c r="H14" s="728"/>
      <c r="I14" s="743"/>
      <c r="J14" s="746"/>
      <c r="K14" s="749"/>
      <c r="L14" s="731"/>
      <c r="M14" s="731"/>
      <c r="N14" s="345">
        <v>44999</v>
      </c>
      <c r="O14" s="725"/>
      <c r="P14" s="338">
        <v>2028.24</v>
      </c>
      <c r="Q14" s="339">
        <v>45005</v>
      </c>
      <c r="R14" s="340"/>
      <c r="S14" s="338"/>
      <c r="T14" s="338"/>
      <c r="U14" s="728"/>
      <c r="V14" s="734"/>
      <c r="W14" s="737"/>
      <c r="X14" s="2">
        <v>19</v>
      </c>
    </row>
    <row r="15" spans="1:24" s="2" customFormat="1" x14ac:dyDescent="0.3">
      <c r="A15" s="722"/>
      <c r="B15" s="731"/>
      <c r="C15" s="731"/>
      <c r="D15" s="731"/>
      <c r="E15" s="731"/>
      <c r="F15" s="725"/>
      <c r="G15" s="740"/>
      <c r="H15" s="728"/>
      <c r="I15" s="743"/>
      <c r="J15" s="746"/>
      <c r="K15" s="749"/>
      <c r="L15" s="731"/>
      <c r="M15" s="731"/>
      <c r="N15" s="345">
        <v>45035</v>
      </c>
      <c r="O15" s="725"/>
      <c r="P15" s="338">
        <v>2554.08</v>
      </c>
      <c r="Q15" s="339">
        <v>45051</v>
      </c>
      <c r="R15" s="340"/>
      <c r="S15" s="338"/>
      <c r="T15" s="338"/>
      <c r="U15" s="728"/>
      <c r="V15" s="734"/>
      <c r="W15" s="737"/>
      <c r="X15" s="2">
        <v>19</v>
      </c>
    </row>
    <row r="16" spans="1:24" s="2" customFormat="1" x14ac:dyDescent="0.3">
      <c r="A16" s="722"/>
      <c r="B16" s="731"/>
      <c r="C16" s="731"/>
      <c r="D16" s="731"/>
      <c r="E16" s="731"/>
      <c r="F16" s="725"/>
      <c r="G16" s="740"/>
      <c r="H16" s="728"/>
      <c r="I16" s="743"/>
      <c r="J16" s="746"/>
      <c r="K16" s="749"/>
      <c r="L16" s="731"/>
      <c r="M16" s="731"/>
      <c r="N16" s="345">
        <v>45062</v>
      </c>
      <c r="O16" s="725"/>
      <c r="P16" s="338">
        <v>2854.56</v>
      </c>
      <c r="Q16" s="339">
        <v>45070</v>
      </c>
      <c r="R16" s="340"/>
      <c r="S16" s="338"/>
      <c r="T16" s="338"/>
      <c r="U16" s="728"/>
      <c r="V16" s="734"/>
      <c r="W16" s="737"/>
      <c r="X16" s="2">
        <v>19</v>
      </c>
    </row>
    <row r="17" spans="1:24" s="2" customFormat="1" x14ac:dyDescent="0.3">
      <c r="A17" s="722"/>
      <c r="B17" s="731"/>
      <c r="C17" s="731"/>
      <c r="D17" s="731"/>
      <c r="E17" s="731"/>
      <c r="F17" s="725"/>
      <c r="G17" s="740"/>
      <c r="H17" s="728"/>
      <c r="I17" s="743"/>
      <c r="J17" s="746"/>
      <c r="K17" s="749"/>
      <c r="L17" s="731"/>
      <c r="M17" s="731"/>
      <c r="N17" s="345">
        <v>45092</v>
      </c>
      <c r="O17" s="725"/>
      <c r="P17" s="338">
        <v>2216.04</v>
      </c>
      <c r="Q17" s="339">
        <v>45106</v>
      </c>
      <c r="R17" s="340"/>
      <c r="S17" s="338"/>
      <c r="T17" s="338"/>
      <c r="U17" s="728"/>
      <c r="V17" s="734"/>
      <c r="W17" s="737"/>
      <c r="X17" s="2">
        <v>19</v>
      </c>
    </row>
    <row r="18" spans="1:24" s="2" customFormat="1" x14ac:dyDescent="0.3">
      <c r="A18" s="722"/>
      <c r="B18" s="731"/>
      <c r="C18" s="731"/>
      <c r="D18" s="731"/>
      <c r="E18" s="731"/>
      <c r="F18" s="725"/>
      <c r="G18" s="740"/>
      <c r="H18" s="728"/>
      <c r="I18" s="743"/>
      <c r="J18" s="746"/>
      <c r="K18" s="749"/>
      <c r="L18" s="731"/>
      <c r="M18" s="731"/>
      <c r="N18" s="345">
        <v>45124</v>
      </c>
      <c r="O18" s="725"/>
      <c r="P18" s="338">
        <v>2817</v>
      </c>
      <c r="Q18" s="339">
        <v>45132</v>
      </c>
      <c r="R18" s="340"/>
      <c r="S18" s="338"/>
      <c r="T18" s="338"/>
      <c r="U18" s="728"/>
      <c r="V18" s="734"/>
      <c r="W18" s="737"/>
      <c r="X18" s="2">
        <v>19</v>
      </c>
    </row>
    <row r="19" spans="1:24" s="2" customFormat="1" x14ac:dyDescent="0.3">
      <c r="A19" s="722"/>
      <c r="B19" s="731"/>
      <c r="C19" s="731"/>
      <c r="D19" s="731"/>
      <c r="E19" s="731"/>
      <c r="F19" s="725"/>
      <c r="G19" s="740"/>
      <c r="H19" s="728"/>
      <c r="I19" s="743"/>
      <c r="J19" s="746"/>
      <c r="K19" s="749"/>
      <c r="L19" s="731"/>
      <c r="M19" s="731"/>
      <c r="N19" s="345">
        <v>45156</v>
      </c>
      <c r="O19" s="725"/>
      <c r="P19" s="338">
        <v>1314.6</v>
      </c>
      <c r="Q19" s="339">
        <v>45168</v>
      </c>
      <c r="R19" s="340"/>
      <c r="S19" s="338"/>
      <c r="T19" s="338"/>
      <c r="U19" s="728"/>
      <c r="V19" s="734"/>
      <c r="W19" s="737"/>
      <c r="X19" s="2">
        <v>19</v>
      </c>
    </row>
    <row r="20" spans="1:24" s="2" customFormat="1" x14ac:dyDescent="0.3">
      <c r="A20" s="723"/>
      <c r="B20" s="732"/>
      <c r="C20" s="732"/>
      <c r="D20" s="732"/>
      <c r="E20" s="732"/>
      <c r="F20" s="726"/>
      <c r="G20" s="741"/>
      <c r="H20" s="729"/>
      <c r="I20" s="744"/>
      <c r="J20" s="747"/>
      <c r="K20" s="750"/>
      <c r="L20" s="732"/>
      <c r="M20" s="732"/>
      <c r="N20" s="346">
        <v>45187</v>
      </c>
      <c r="O20" s="726"/>
      <c r="P20" s="341">
        <v>2028.24</v>
      </c>
      <c r="Q20" s="342">
        <v>45189</v>
      </c>
      <c r="R20" s="343"/>
      <c r="S20" s="341"/>
      <c r="T20" s="341"/>
      <c r="U20" s="729"/>
      <c r="V20" s="735"/>
      <c r="W20" s="738"/>
      <c r="X20" s="2">
        <v>19</v>
      </c>
    </row>
    <row r="21" spans="1:24" s="108" customFormat="1" ht="37.5" customHeight="1" x14ac:dyDescent="0.3">
      <c r="A21" s="449">
        <v>3</v>
      </c>
      <c r="B21" s="431" t="s">
        <v>56</v>
      </c>
      <c r="C21" s="431" t="s">
        <v>146</v>
      </c>
      <c r="D21" s="431" t="s">
        <v>188</v>
      </c>
      <c r="E21" s="431" t="s">
        <v>190</v>
      </c>
      <c r="F21" s="437">
        <v>44925</v>
      </c>
      <c r="G21" s="458" t="s">
        <v>185</v>
      </c>
      <c r="H21" s="440">
        <v>364067.54</v>
      </c>
      <c r="I21" s="443">
        <f>IF(X21 = 20, H21 + SUM(S21:S42) - SUM(T21:T42) - SUM(P21:P42) - V21,0)</f>
        <v>65612.37</v>
      </c>
      <c r="J21" s="598">
        <v>2308119595</v>
      </c>
      <c r="K21" s="600" t="s">
        <v>150</v>
      </c>
      <c r="L21" s="431" t="s">
        <v>146</v>
      </c>
      <c r="M21" s="431"/>
      <c r="N21" s="369">
        <v>44957</v>
      </c>
      <c r="O21" s="437" t="s">
        <v>186</v>
      </c>
      <c r="P21" s="360">
        <v>9810.7000000000007</v>
      </c>
      <c r="Q21" s="361">
        <v>44974</v>
      </c>
      <c r="R21" s="362"/>
      <c r="S21" s="360"/>
      <c r="T21" s="360"/>
      <c r="U21" s="440"/>
      <c r="V21" s="596"/>
      <c r="W21" s="455"/>
      <c r="X21" s="108">
        <v>20</v>
      </c>
    </row>
    <row r="22" spans="1:24" s="2" customFormat="1" x14ac:dyDescent="0.3">
      <c r="A22" s="450"/>
      <c r="B22" s="432"/>
      <c r="C22" s="432"/>
      <c r="D22" s="432"/>
      <c r="E22" s="432"/>
      <c r="F22" s="438"/>
      <c r="G22" s="459"/>
      <c r="H22" s="441"/>
      <c r="I22" s="444"/>
      <c r="J22" s="602"/>
      <c r="K22" s="603"/>
      <c r="L22" s="432"/>
      <c r="M22" s="432"/>
      <c r="N22" s="370">
        <v>44958</v>
      </c>
      <c r="O22" s="438"/>
      <c r="P22" s="363">
        <v>21883.97</v>
      </c>
      <c r="Q22" s="364">
        <v>44974</v>
      </c>
      <c r="R22" s="365"/>
      <c r="S22" s="363"/>
      <c r="T22" s="363"/>
      <c r="U22" s="441"/>
      <c r="V22" s="604"/>
      <c r="W22" s="456"/>
      <c r="X22" s="2">
        <v>20</v>
      </c>
    </row>
    <row r="23" spans="1:24" s="2" customFormat="1" x14ac:dyDescent="0.3">
      <c r="A23" s="450"/>
      <c r="B23" s="432"/>
      <c r="C23" s="432"/>
      <c r="D23" s="432"/>
      <c r="E23" s="432"/>
      <c r="F23" s="438"/>
      <c r="G23" s="459"/>
      <c r="H23" s="441"/>
      <c r="I23" s="444"/>
      <c r="J23" s="602"/>
      <c r="K23" s="603"/>
      <c r="L23" s="432"/>
      <c r="M23" s="432"/>
      <c r="N23" s="370">
        <v>44986</v>
      </c>
      <c r="O23" s="438"/>
      <c r="P23" s="363">
        <v>16412.98</v>
      </c>
      <c r="Q23" s="364">
        <v>44988</v>
      </c>
      <c r="R23" s="365"/>
      <c r="S23" s="363"/>
      <c r="T23" s="363"/>
      <c r="U23" s="441"/>
      <c r="V23" s="604"/>
      <c r="W23" s="456"/>
      <c r="X23" s="2">
        <v>20</v>
      </c>
    </row>
    <row r="24" spans="1:24" s="2" customFormat="1" x14ac:dyDescent="0.3">
      <c r="A24" s="450"/>
      <c r="B24" s="432"/>
      <c r="C24" s="432"/>
      <c r="D24" s="432"/>
      <c r="E24" s="432"/>
      <c r="F24" s="438"/>
      <c r="G24" s="459"/>
      <c r="H24" s="441"/>
      <c r="I24" s="444"/>
      <c r="J24" s="602"/>
      <c r="K24" s="603"/>
      <c r="L24" s="432"/>
      <c r="M24" s="432"/>
      <c r="N24" s="370">
        <v>45001</v>
      </c>
      <c r="O24" s="438"/>
      <c r="P24" s="363">
        <v>16486.419999999998</v>
      </c>
      <c r="Q24" s="364">
        <v>45001</v>
      </c>
      <c r="R24" s="365"/>
      <c r="S24" s="363"/>
      <c r="T24" s="363"/>
      <c r="U24" s="441"/>
      <c r="V24" s="604"/>
      <c r="W24" s="456"/>
      <c r="X24" s="2">
        <v>20</v>
      </c>
    </row>
    <row r="25" spans="1:24" s="2" customFormat="1" x14ac:dyDescent="0.3">
      <c r="A25" s="450"/>
      <c r="B25" s="432"/>
      <c r="C25" s="432"/>
      <c r="D25" s="432"/>
      <c r="E25" s="432"/>
      <c r="F25" s="438"/>
      <c r="G25" s="459"/>
      <c r="H25" s="441"/>
      <c r="I25" s="444"/>
      <c r="J25" s="602"/>
      <c r="K25" s="603"/>
      <c r="L25" s="432"/>
      <c r="M25" s="432"/>
      <c r="N25" s="370">
        <v>45001</v>
      </c>
      <c r="O25" s="438"/>
      <c r="P25" s="363">
        <v>21890.9</v>
      </c>
      <c r="Q25" s="364">
        <v>45001</v>
      </c>
      <c r="R25" s="365"/>
      <c r="S25" s="363"/>
      <c r="T25" s="363"/>
      <c r="U25" s="441"/>
      <c r="V25" s="604"/>
      <c r="W25" s="456"/>
      <c r="X25" s="2">
        <v>20</v>
      </c>
    </row>
    <row r="26" spans="1:24" s="2" customFormat="1" x14ac:dyDescent="0.3">
      <c r="A26" s="450"/>
      <c r="B26" s="432"/>
      <c r="C26" s="432"/>
      <c r="D26" s="432"/>
      <c r="E26" s="432"/>
      <c r="F26" s="438"/>
      <c r="G26" s="459"/>
      <c r="H26" s="441"/>
      <c r="I26" s="444"/>
      <c r="J26" s="602"/>
      <c r="K26" s="603"/>
      <c r="L26" s="432"/>
      <c r="M26" s="432"/>
      <c r="N26" s="370">
        <v>45017</v>
      </c>
      <c r="O26" s="438"/>
      <c r="P26" s="363">
        <v>16418.169999999998</v>
      </c>
      <c r="Q26" s="364">
        <v>45022</v>
      </c>
      <c r="R26" s="365"/>
      <c r="S26" s="363"/>
      <c r="T26" s="363"/>
      <c r="U26" s="441"/>
      <c r="V26" s="604"/>
      <c r="W26" s="456"/>
      <c r="X26" s="2">
        <v>20</v>
      </c>
    </row>
    <row r="27" spans="1:24" s="2" customFormat="1" x14ac:dyDescent="0.3">
      <c r="A27" s="450"/>
      <c r="B27" s="432"/>
      <c r="C27" s="432"/>
      <c r="D27" s="432"/>
      <c r="E27" s="432"/>
      <c r="F27" s="438"/>
      <c r="G27" s="459"/>
      <c r="H27" s="441"/>
      <c r="I27" s="444"/>
      <c r="J27" s="602"/>
      <c r="K27" s="603"/>
      <c r="L27" s="432"/>
      <c r="M27" s="432"/>
      <c r="N27" s="370">
        <v>45016</v>
      </c>
      <c r="O27" s="438"/>
      <c r="P27" s="363">
        <v>13697.32</v>
      </c>
      <c r="Q27" s="364">
        <v>45030</v>
      </c>
      <c r="R27" s="365"/>
      <c r="S27" s="363"/>
      <c r="T27" s="363"/>
      <c r="U27" s="441"/>
      <c r="V27" s="604"/>
      <c r="W27" s="456"/>
      <c r="X27" s="2">
        <v>20</v>
      </c>
    </row>
    <row r="28" spans="1:24" s="2" customFormat="1" x14ac:dyDescent="0.3">
      <c r="A28" s="450"/>
      <c r="B28" s="432"/>
      <c r="C28" s="432"/>
      <c r="D28" s="432"/>
      <c r="E28" s="432"/>
      <c r="F28" s="438"/>
      <c r="G28" s="459"/>
      <c r="H28" s="441"/>
      <c r="I28" s="444"/>
      <c r="J28" s="602"/>
      <c r="K28" s="603"/>
      <c r="L28" s="432"/>
      <c r="M28" s="432"/>
      <c r="N28" s="370">
        <v>45017</v>
      </c>
      <c r="O28" s="438"/>
      <c r="P28" s="363">
        <v>20800.48</v>
      </c>
      <c r="Q28" s="364">
        <v>45033</v>
      </c>
      <c r="R28" s="365"/>
      <c r="S28" s="363"/>
      <c r="T28" s="363"/>
      <c r="U28" s="441"/>
      <c r="V28" s="604"/>
      <c r="W28" s="456"/>
      <c r="X28" s="2">
        <v>20</v>
      </c>
    </row>
    <row r="29" spans="1:24" s="2" customFormat="1" x14ac:dyDescent="0.3">
      <c r="A29" s="450"/>
      <c r="B29" s="432"/>
      <c r="C29" s="432"/>
      <c r="D29" s="432"/>
      <c r="E29" s="432"/>
      <c r="F29" s="438"/>
      <c r="G29" s="459"/>
      <c r="H29" s="441"/>
      <c r="I29" s="444"/>
      <c r="J29" s="602"/>
      <c r="K29" s="603"/>
      <c r="L29" s="432"/>
      <c r="M29" s="432"/>
      <c r="N29" s="370">
        <v>45047</v>
      </c>
      <c r="O29" s="438"/>
      <c r="P29" s="363">
        <v>15600.36</v>
      </c>
      <c r="Q29" s="364">
        <v>45049</v>
      </c>
      <c r="R29" s="365"/>
      <c r="S29" s="363"/>
      <c r="T29" s="363"/>
      <c r="U29" s="441"/>
      <c r="V29" s="604"/>
      <c r="W29" s="456"/>
      <c r="X29" s="2">
        <v>20</v>
      </c>
    </row>
    <row r="30" spans="1:24" s="2" customFormat="1" x14ac:dyDescent="0.3">
      <c r="A30" s="450"/>
      <c r="B30" s="432"/>
      <c r="C30" s="432"/>
      <c r="D30" s="432"/>
      <c r="E30" s="432"/>
      <c r="F30" s="438"/>
      <c r="G30" s="459"/>
      <c r="H30" s="441"/>
      <c r="I30" s="444"/>
      <c r="J30" s="602"/>
      <c r="K30" s="603"/>
      <c r="L30" s="432"/>
      <c r="M30" s="432"/>
      <c r="N30" s="370">
        <v>45046</v>
      </c>
      <c r="O30" s="438"/>
      <c r="P30" s="363">
        <v>13871.16</v>
      </c>
      <c r="Q30" s="364">
        <v>45064</v>
      </c>
      <c r="R30" s="365"/>
      <c r="S30" s="363"/>
      <c r="T30" s="363"/>
      <c r="U30" s="441"/>
      <c r="V30" s="604"/>
      <c r="W30" s="456"/>
      <c r="X30" s="2">
        <v>20</v>
      </c>
    </row>
    <row r="31" spans="1:24" s="2" customFormat="1" x14ac:dyDescent="0.3">
      <c r="A31" s="450"/>
      <c r="B31" s="432"/>
      <c r="C31" s="432"/>
      <c r="D31" s="432"/>
      <c r="E31" s="432"/>
      <c r="F31" s="438"/>
      <c r="G31" s="459"/>
      <c r="H31" s="441"/>
      <c r="I31" s="444"/>
      <c r="J31" s="602"/>
      <c r="K31" s="603"/>
      <c r="L31" s="432"/>
      <c r="M31" s="432"/>
      <c r="N31" s="370">
        <v>45047</v>
      </c>
      <c r="O31" s="438"/>
      <c r="P31" s="363">
        <v>22497.05</v>
      </c>
      <c r="Q31" s="364">
        <v>45064</v>
      </c>
      <c r="R31" s="365"/>
      <c r="S31" s="363"/>
      <c r="T31" s="363"/>
      <c r="U31" s="441"/>
      <c r="V31" s="604"/>
      <c r="W31" s="456"/>
      <c r="X31" s="2">
        <v>20</v>
      </c>
    </row>
    <row r="32" spans="1:24" s="2" customFormat="1" x14ac:dyDescent="0.3">
      <c r="A32" s="450"/>
      <c r="B32" s="432"/>
      <c r="C32" s="432"/>
      <c r="D32" s="432"/>
      <c r="E32" s="432"/>
      <c r="F32" s="438"/>
      <c r="G32" s="459"/>
      <c r="H32" s="441"/>
      <c r="I32" s="444"/>
      <c r="J32" s="602"/>
      <c r="K32" s="603"/>
      <c r="L32" s="432"/>
      <c r="M32" s="432"/>
      <c r="N32" s="370">
        <v>45078</v>
      </c>
      <c r="O32" s="438"/>
      <c r="P32" s="363">
        <v>16872.78</v>
      </c>
      <c r="Q32" s="364">
        <v>45083</v>
      </c>
      <c r="R32" s="365"/>
      <c r="S32" s="363"/>
      <c r="T32" s="363"/>
      <c r="U32" s="441"/>
      <c r="V32" s="604"/>
      <c r="W32" s="456"/>
      <c r="X32" s="2">
        <v>20</v>
      </c>
    </row>
    <row r="33" spans="1:24" s="2" customFormat="1" x14ac:dyDescent="0.3">
      <c r="A33" s="450"/>
      <c r="B33" s="432"/>
      <c r="C33" s="432"/>
      <c r="D33" s="432"/>
      <c r="E33" s="432"/>
      <c r="F33" s="438"/>
      <c r="G33" s="459"/>
      <c r="H33" s="441"/>
      <c r="I33" s="444"/>
      <c r="J33" s="602"/>
      <c r="K33" s="603"/>
      <c r="L33" s="432"/>
      <c r="M33" s="432"/>
      <c r="N33" s="370">
        <v>45078</v>
      </c>
      <c r="O33" s="438"/>
      <c r="P33" s="363">
        <v>12985.61</v>
      </c>
      <c r="Q33" s="364">
        <v>45093</v>
      </c>
      <c r="R33" s="365"/>
      <c r="S33" s="363"/>
      <c r="T33" s="363"/>
      <c r="U33" s="441"/>
      <c r="V33" s="604"/>
      <c r="W33" s="456"/>
      <c r="X33" s="2">
        <v>20</v>
      </c>
    </row>
    <row r="34" spans="1:24" s="2" customFormat="1" x14ac:dyDescent="0.3">
      <c r="A34" s="450"/>
      <c r="B34" s="432"/>
      <c r="C34" s="432"/>
      <c r="D34" s="432"/>
      <c r="E34" s="432"/>
      <c r="F34" s="438"/>
      <c r="G34" s="459"/>
      <c r="H34" s="441"/>
      <c r="I34" s="444"/>
      <c r="J34" s="602"/>
      <c r="K34" s="603"/>
      <c r="L34" s="432"/>
      <c r="M34" s="432"/>
      <c r="N34" s="370">
        <v>45108</v>
      </c>
      <c r="O34" s="438"/>
      <c r="P34" s="363">
        <v>9739.2000000000007</v>
      </c>
      <c r="Q34" s="364">
        <v>45110</v>
      </c>
      <c r="R34" s="365"/>
      <c r="S34" s="363"/>
      <c r="T34" s="363"/>
      <c r="U34" s="441"/>
      <c r="V34" s="604"/>
      <c r="W34" s="456"/>
      <c r="X34" s="2">
        <v>20</v>
      </c>
    </row>
    <row r="35" spans="1:24" s="2" customFormat="1" x14ac:dyDescent="0.3">
      <c r="A35" s="450"/>
      <c r="B35" s="432"/>
      <c r="C35" s="432"/>
      <c r="D35" s="432"/>
      <c r="E35" s="432"/>
      <c r="F35" s="438"/>
      <c r="G35" s="459"/>
      <c r="H35" s="441"/>
      <c r="I35" s="444"/>
      <c r="J35" s="602"/>
      <c r="K35" s="603"/>
      <c r="L35" s="432"/>
      <c r="M35" s="432"/>
      <c r="N35" s="370">
        <v>45108</v>
      </c>
      <c r="O35" s="438"/>
      <c r="P35" s="363">
        <v>8765.93</v>
      </c>
      <c r="Q35" s="364">
        <v>45125</v>
      </c>
      <c r="R35" s="365"/>
      <c r="S35" s="363"/>
      <c r="T35" s="363"/>
      <c r="U35" s="441"/>
      <c r="V35" s="604"/>
      <c r="W35" s="456"/>
      <c r="X35" s="2">
        <v>20</v>
      </c>
    </row>
    <row r="36" spans="1:24" s="2" customFormat="1" x14ac:dyDescent="0.3">
      <c r="A36" s="450"/>
      <c r="B36" s="432"/>
      <c r="C36" s="432"/>
      <c r="D36" s="432"/>
      <c r="E36" s="432"/>
      <c r="F36" s="438"/>
      <c r="G36" s="459"/>
      <c r="H36" s="441"/>
      <c r="I36" s="444"/>
      <c r="J36" s="602"/>
      <c r="K36" s="603"/>
      <c r="L36" s="432"/>
      <c r="M36" s="432"/>
      <c r="N36" s="370">
        <v>45139</v>
      </c>
      <c r="O36" s="438"/>
      <c r="P36" s="363">
        <v>6574.45</v>
      </c>
      <c r="Q36" s="364">
        <v>45139</v>
      </c>
      <c r="R36" s="365"/>
      <c r="S36" s="363"/>
      <c r="T36" s="363"/>
      <c r="U36" s="441"/>
      <c r="V36" s="604"/>
      <c r="W36" s="456"/>
      <c r="X36" s="2">
        <v>20</v>
      </c>
    </row>
    <row r="37" spans="1:24" s="2" customFormat="1" x14ac:dyDescent="0.3">
      <c r="A37" s="450"/>
      <c r="B37" s="432"/>
      <c r="C37" s="432"/>
      <c r="D37" s="432"/>
      <c r="E37" s="432"/>
      <c r="F37" s="438"/>
      <c r="G37" s="459"/>
      <c r="H37" s="441"/>
      <c r="I37" s="444"/>
      <c r="J37" s="602"/>
      <c r="K37" s="603"/>
      <c r="L37" s="432"/>
      <c r="M37" s="432"/>
      <c r="N37" s="370">
        <v>45139</v>
      </c>
      <c r="O37" s="438"/>
      <c r="P37" s="363">
        <v>6570.44</v>
      </c>
      <c r="Q37" s="364">
        <v>45156</v>
      </c>
      <c r="R37" s="365"/>
      <c r="S37" s="363"/>
      <c r="T37" s="363"/>
      <c r="U37" s="441"/>
      <c r="V37" s="604"/>
      <c r="W37" s="456"/>
      <c r="X37" s="2">
        <v>20</v>
      </c>
    </row>
    <row r="38" spans="1:24" s="2" customFormat="1" x14ac:dyDescent="0.3">
      <c r="A38" s="450"/>
      <c r="B38" s="432"/>
      <c r="C38" s="432"/>
      <c r="D38" s="432"/>
      <c r="E38" s="432"/>
      <c r="F38" s="438"/>
      <c r="G38" s="459"/>
      <c r="H38" s="441"/>
      <c r="I38" s="444"/>
      <c r="J38" s="602"/>
      <c r="K38" s="603"/>
      <c r="L38" s="432"/>
      <c r="M38" s="432"/>
      <c r="N38" s="370">
        <v>45170</v>
      </c>
      <c r="O38" s="438"/>
      <c r="P38" s="363">
        <v>4927.84</v>
      </c>
      <c r="Q38" s="364">
        <v>45174</v>
      </c>
      <c r="R38" s="365"/>
      <c r="S38" s="363"/>
      <c r="T38" s="363"/>
      <c r="U38" s="441"/>
      <c r="V38" s="604"/>
      <c r="W38" s="456"/>
      <c r="X38" s="2">
        <v>20</v>
      </c>
    </row>
    <row r="39" spans="1:24" s="2" customFormat="1" x14ac:dyDescent="0.3">
      <c r="A39" s="450"/>
      <c r="B39" s="432"/>
      <c r="C39" s="432"/>
      <c r="D39" s="432"/>
      <c r="E39" s="432"/>
      <c r="F39" s="438"/>
      <c r="G39" s="459"/>
      <c r="H39" s="441"/>
      <c r="I39" s="444"/>
      <c r="J39" s="602"/>
      <c r="K39" s="603"/>
      <c r="L39" s="432"/>
      <c r="M39" s="432"/>
      <c r="N39" s="370">
        <v>45170</v>
      </c>
      <c r="O39" s="438"/>
      <c r="P39" s="363">
        <v>6034.07</v>
      </c>
      <c r="Q39" s="364">
        <v>45184</v>
      </c>
      <c r="R39" s="365"/>
      <c r="S39" s="363"/>
      <c r="T39" s="363"/>
      <c r="U39" s="441"/>
      <c r="V39" s="604"/>
      <c r="W39" s="456"/>
      <c r="X39" s="2">
        <v>20</v>
      </c>
    </row>
    <row r="40" spans="1:24" s="2" customFormat="1" x14ac:dyDescent="0.3">
      <c r="A40" s="450"/>
      <c r="B40" s="432"/>
      <c r="C40" s="432"/>
      <c r="D40" s="432"/>
      <c r="E40" s="432"/>
      <c r="F40" s="438"/>
      <c r="G40" s="459"/>
      <c r="H40" s="441"/>
      <c r="I40" s="444"/>
      <c r="J40" s="602"/>
      <c r="K40" s="603"/>
      <c r="L40" s="432"/>
      <c r="M40" s="432"/>
      <c r="N40" s="370">
        <v>45200</v>
      </c>
      <c r="O40" s="438"/>
      <c r="P40" s="363">
        <v>4525.55</v>
      </c>
      <c r="Q40" s="364">
        <v>45201</v>
      </c>
      <c r="R40" s="365"/>
      <c r="S40" s="363"/>
      <c r="T40" s="363"/>
      <c r="U40" s="441"/>
      <c r="V40" s="604"/>
      <c r="W40" s="456"/>
      <c r="X40" s="2">
        <v>20</v>
      </c>
    </row>
    <row r="41" spans="1:24" s="2" customFormat="1" x14ac:dyDescent="0.3">
      <c r="A41" s="450"/>
      <c r="B41" s="432"/>
      <c r="C41" s="432"/>
      <c r="D41" s="432"/>
      <c r="E41" s="432"/>
      <c r="F41" s="438"/>
      <c r="G41" s="459"/>
      <c r="H41" s="441"/>
      <c r="I41" s="444"/>
      <c r="J41" s="602"/>
      <c r="K41" s="603"/>
      <c r="L41" s="432"/>
      <c r="M41" s="432"/>
      <c r="N41" s="370">
        <v>45199</v>
      </c>
      <c r="O41" s="438"/>
      <c r="P41" s="363">
        <v>13626.88</v>
      </c>
      <c r="Q41" s="364">
        <v>45216</v>
      </c>
      <c r="R41" s="365"/>
      <c r="S41" s="363"/>
      <c r="T41" s="363"/>
      <c r="U41" s="441"/>
      <c r="V41" s="604"/>
      <c r="W41" s="456"/>
      <c r="X41" s="2">
        <v>20</v>
      </c>
    </row>
    <row r="42" spans="1:24" s="2" customFormat="1" x14ac:dyDescent="0.3">
      <c r="A42" s="451"/>
      <c r="B42" s="433"/>
      <c r="C42" s="433"/>
      <c r="D42" s="433"/>
      <c r="E42" s="433"/>
      <c r="F42" s="439"/>
      <c r="G42" s="460"/>
      <c r="H42" s="442"/>
      <c r="I42" s="445"/>
      <c r="J42" s="599"/>
      <c r="K42" s="601"/>
      <c r="L42" s="433"/>
      <c r="M42" s="433"/>
      <c r="N42" s="371">
        <v>45200</v>
      </c>
      <c r="O42" s="439"/>
      <c r="P42" s="366">
        <v>18462.91</v>
      </c>
      <c r="Q42" s="367">
        <v>45216</v>
      </c>
      <c r="R42" s="368"/>
      <c r="S42" s="366"/>
      <c r="T42" s="366"/>
      <c r="U42" s="442"/>
      <c r="V42" s="597"/>
      <c r="W42" s="457"/>
      <c r="X42" s="2">
        <v>20</v>
      </c>
    </row>
    <row r="43" spans="1:24" s="108" customFormat="1" ht="93.75" customHeight="1" x14ac:dyDescent="0.3">
      <c r="A43" s="449">
        <v>4</v>
      </c>
      <c r="B43" s="431" t="s">
        <v>56</v>
      </c>
      <c r="C43" s="431" t="s">
        <v>146</v>
      </c>
      <c r="D43" s="431" t="s">
        <v>147</v>
      </c>
      <c r="E43" s="431" t="s">
        <v>191</v>
      </c>
      <c r="F43" s="437">
        <v>44925</v>
      </c>
      <c r="G43" s="458" t="s">
        <v>149</v>
      </c>
      <c r="H43" s="440">
        <v>45256.38</v>
      </c>
      <c r="I43" s="443">
        <f>IF(X43 = 21, H43 + SUM(S43:S51) - SUM(T43:T51) - SUM(P43:P51) - V43,0)</f>
        <v>11314.050000000003</v>
      </c>
      <c r="J43" s="598">
        <v>2308131994</v>
      </c>
      <c r="K43" s="600" t="s">
        <v>178</v>
      </c>
      <c r="L43" s="431" t="s">
        <v>146</v>
      </c>
      <c r="M43" s="431"/>
      <c r="N43" s="369">
        <v>44957</v>
      </c>
      <c r="O43" s="437" t="s">
        <v>187</v>
      </c>
      <c r="P43" s="360">
        <v>3771.37</v>
      </c>
      <c r="Q43" s="361">
        <v>44963</v>
      </c>
      <c r="R43" s="362"/>
      <c r="S43" s="360"/>
      <c r="T43" s="360"/>
      <c r="U43" s="440"/>
      <c r="V43" s="596"/>
      <c r="W43" s="455"/>
      <c r="X43" s="108">
        <v>21</v>
      </c>
    </row>
    <row r="44" spans="1:24" s="2" customFormat="1" x14ac:dyDescent="0.3">
      <c r="A44" s="450"/>
      <c r="B44" s="432"/>
      <c r="C44" s="432"/>
      <c r="D44" s="432"/>
      <c r="E44" s="432"/>
      <c r="F44" s="438"/>
      <c r="G44" s="459"/>
      <c r="H44" s="441"/>
      <c r="I44" s="444"/>
      <c r="J44" s="602"/>
      <c r="K44" s="603"/>
      <c r="L44" s="432"/>
      <c r="M44" s="432"/>
      <c r="N44" s="370">
        <v>44985</v>
      </c>
      <c r="O44" s="438"/>
      <c r="P44" s="363">
        <v>3771.37</v>
      </c>
      <c r="Q44" s="364">
        <v>44995</v>
      </c>
      <c r="R44" s="365"/>
      <c r="S44" s="363"/>
      <c r="T44" s="363"/>
      <c r="U44" s="441"/>
      <c r="V44" s="604"/>
      <c r="W44" s="456"/>
      <c r="X44" s="2">
        <v>21</v>
      </c>
    </row>
    <row r="45" spans="1:24" s="2" customFormat="1" x14ac:dyDescent="0.3">
      <c r="A45" s="450"/>
      <c r="B45" s="432"/>
      <c r="C45" s="432"/>
      <c r="D45" s="432"/>
      <c r="E45" s="432"/>
      <c r="F45" s="438"/>
      <c r="G45" s="459"/>
      <c r="H45" s="441"/>
      <c r="I45" s="444"/>
      <c r="J45" s="602"/>
      <c r="K45" s="603"/>
      <c r="L45" s="432"/>
      <c r="M45" s="432"/>
      <c r="N45" s="370">
        <v>45016</v>
      </c>
      <c r="O45" s="438"/>
      <c r="P45" s="363">
        <v>3771.37</v>
      </c>
      <c r="Q45" s="364">
        <v>45022</v>
      </c>
      <c r="R45" s="365"/>
      <c r="S45" s="363"/>
      <c r="T45" s="363"/>
      <c r="U45" s="441"/>
      <c r="V45" s="604"/>
      <c r="W45" s="456"/>
      <c r="X45" s="2">
        <v>21</v>
      </c>
    </row>
    <row r="46" spans="1:24" s="2" customFormat="1" x14ac:dyDescent="0.3">
      <c r="A46" s="450"/>
      <c r="B46" s="432"/>
      <c r="C46" s="432"/>
      <c r="D46" s="432"/>
      <c r="E46" s="432"/>
      <c r="F46" s="438"/>
      <c r="G46" s="459"/>
      <c r="H46" s="441"/>
      <c r="I46" s="444"/>
      <c r="J46" s="602"/>
      <c r="K46" s="603"/>
      <c r="L46" s="432"/>
      <c r="M46" s="432"/>
      <c r="N46" s="370">
        <v>45046</v>
      </c>
      <c r="O46" s="438"/>
      <c r="P46" s="363">
        <v>3771.37</v>
      </c>
      <c r="Q46" s="364">
        <v>45051</v>
      </c>
      <c r="R46" s="365"/>
      <c r="S46" s="363"/>
      <c r="T46" s="363"/>
      <c r="U46" s="441"/>
      <c r="V46" s="604"/>
      <c r="W46" s="456"/>
      <c r="X46" s="2">
        <v>21</v>
      </c>
    </row>
    <row r="47" spans="1:24" s="2" customFormat="1" x14ac:dyDescent="0.3">
      <c r="A47" s="450"/>
      <c r="B47" s="432"/>
      <c r="C47" s="432"/>
      <c r="D47" s="432"/>
      <c r="E47" s="432"/>
      <c r="F47" s="438"/>
      <c r="G47" s="459"/>
      <c r="H47" s="441"/>
      <c r="I47" s="444"/>
      <c r="J47" s="602"/>
      <c r="K47" s="603"/>
      <c r="L47" s="432"/>
      <c r="M47" s="432"/>
      <c r="N47" s="370">
        <v>45077</v>
      </c>
      <c r="O47" s="438"/>
      <c r="P47" s="363">
        <v>3771.37</v>
      </c>
      <c r="Q47" s="364">
        <v>45083</v>
      </c>
      <c r="R47" s="365"/>
      <c r="S47" s="363"/>
      <c r="T47" s="363"/>
      <c r="U47" s="441"/>
      <c r="V47" s="604"/>
      <c r="W47" s="456"/>
      <c r="X47" s="2">
        <v>21</v>
      </c>
    </row>
    <row r="48" spans="1:24" s="2" customFormat="1" x14ac:dyDescent="0.3">
      <c r="A48" s="450"/>
      <c r="B48" s="432"/>
      <c r="C48" s="432"/>
      <c r="D48" s="432"/>
      <c r="E48" s="432"/>
      <c r="F48" s="438"/>
      <c r="G48" s="459"/>
      <c r="H48" s="441"/>
      <c r="I48" s="444"/>
      <c r="J48" s="602"/>
      <c r="K48" s="603"/>
      <c r="L48" s="432"/>
      <c r="M48" s="432"/>
      <c r="N48" s="370">
        <v>45107</v>
      </c>
      <c r="O48" s="438"/>
      <c r="P48" s="363">
        <v>3771.37</v>
      </c>
      <c r="Q48" s="364">
        <v>45114</v>
      </c>
      <c r="R48" s="365"/>
      <c r="S48" s="363"/>
      <c r="T48" s="363"/>
      <c r="U48" s="441"/>
      <c r="V48" s="604"/>
      <c r="W48" s="456"/>
      <c r="X48" s="2">
        <v>21</v>
      </c>
    </row>
    <row r="49" spans="1:24" s="2" customFormat="1" x14ac:dyDescent="0.3">
      <c r="A49" s="450"/>
      <c r="B49" s="432"/>
      <c r="C49" s="432"/>
      <c r="D49" s="432"/>
      <c r="E49" s="432"/>
      <c r="F49" s="438"/>
      <c r="G49" s="459"/>
      <c r="H49" s="441"/>
      <c r="I49" s="444"/>
      <c r="J49" s="602"/>
      <c r="K49" s="603"/>
      <c r="L49" s="432"/>
      <c r="M49" s="432"/>
      <c r="N49" s="370">
        <v>45138</v>
      </c>
      <c r="O49" s="438"/>
      <c r="P49" s="363">
        <v>3771.37</v>
      </c>
      <c r="Q49" s="364">
        <v>45142</v>
      </c>
      <c r="R49" s="365"/>
      <c r="S49" s="363"/>
      <c r="T49" s="363"/>
      <c r="U49" s="441"/>
      <c r="V49" s="604"/>
      <c r="W49" s="456"/>
      <c r="X49" s="2">
        <v>21</v>
      </c>
    </row>
    <row r="50" spans="1:24" s="2" customFormat="1" x14ac:dyDescent="0.3">
      <c r="A50" s="450"/>
      <c r="B50" s="432"/>
      <c r="C50" s="432"/>
      <c r="D50" s="432"/>
      <c r="E50" s="432"/>
      <c r="F50" s="438"/>
      <c r="G50" s="459"/>
      <c r="H50" s="441"/>
      <c r="I50" s="444"/>
      <c r="J50" s="602"/>
      <c r="K50" s="603"/>
      <c r="L50" s="432"/>
      <c r="M50" s="432"/>
      <c r="N50" s="370">
        <v>45169</v>
      </c>
      <c r="O50" s="438"/>
      <c r="P50" s="363">
        <v>3771.37</v>
      </c>
      <c r="Q50" s="364">
        <v>45174</v>
      </c>
      <c r="R50" s="365"/>
      <c r="S50" s="363"/>
      <c r="T50" s="363"/>
      <c r="U50" s="441"/>
      <c r="V50" s="604"/>
      <c r="W50" s="456"/>
      <c r="X50" s="2">
        <v>21</v>
      </c>
    </row>
    <row r="51" spans="1:24" s="2" customFormat="1" x14ac:dyDescent="0.3">
      <c r="A51" s="451"/>
      <c r="B51" s="433"/>
      <c r="C51" s="433"/>
      <c r="D51" s="433"/>
      <c r="E51" s="433"/>
      <c r="F51" s="439"/>
      <c r="G51" s="460"/>
      <c r="H51" s="442"/>
      <c r="I51" s="445"/>
      <c r="J51" s="599"/>
      <c r="K51" s="601"/>
      <c r="L51" s="433"/>
      <c r="M51" s="433"/>
      <c r="N51" s="371">
        <v>45199</v>
      </c>
      <c r="O51" s="439"/>
      <c r="P51" s="366">
        <v>3771.37</v>
      </c>
      <c r="Q51" s="367">
        <v>45204</v>
      </c>
      <c r="R51" s="368"/>
      <c r="S51" s="366"/>
      <c r="T51" s="366"/>
      <c r="U51" s="442"/>
      <c r="V51" s="597"/>
      <c r="W51" s="457"/>
      <c r="X51" s="2">
        <v>21</v>
      </c>
    </row>
    <row r="52" spans="1:24" s="108" customFormat="1" ht="187.5" customHeight="1" x14ac:dyDescent="0.3">
      <c r="A52" s="670">
        <v>5</v>
      </c>
      <c r="B52" s="617" t="s">
        <v>56</v>
      </c>
      <c r="C52" s="617" t="s">
        <v>146</v>
      </c>
      <c r="D52" s="617" t="s">
        <v>147</v>
      </c>
      <c r="E52" s="617" t="s">
        <v>36</v>
      </c>
      <c r="F52" s="647">
        <v>44951</v>
      </c>
      <c r="G52" s="650" t="s">
        <v>189</v>
      </c>
      <c r="H52" s="653">
        <v>362529.7</v>
      </c>
      <c r="I52" s="656">
        <f>IF(X52 = 22, H52 + SUM(S52:S61) - SUM(T52:T61) - SUM(P52:P61) - V52,0)</f>
        <v>0</v>
      </c>
      <c r="J52" s="659">
        <v>2353020735</v>
      </c>
      <c r="K52" s="662" t="s">
        <v>157</v>
      </c>
      <c r="L52" s="617" t="s">
        <v>146</v>
      </c>
      <c r="M52" s="617"/>
      <c r="N52" s="136">
        <v>44946</v>
      </c>
      <c r="O52" s="647" t="s">
        <v>181</v>
      </c>
      <c r="P52" s="137">
        <v>5322.73</v>
      </c>
      <c r="Q52" s="138">
        <v>44965</v>
      </c>
      <c r="R52" s="139"/>
      <c r="S52" s="137"/>
      <c r="T52" s="137"/>
      <c r="U52" s="653"/>
      <c r="V52" s="665">
        <v>72430.570000000007</v>
      </c>
      <c r="W52" s="644"/>
      <c r="X52" s="108">
        <v>22</v>
      </c>
    </row>
    <row r="53" spans="1:24" s="2" customFormat="1" x14ac:dyDescent="0.3">
      <c r="A53" s="671"/>
      <c r="B53" s="618"/>
      <c r="C53" s="618"/>
      <c r="D53" s="618"/>
      <c r="E53" s="618"/>
      <c r="F53" s="648"/>
      <c r="G53" s="651"/>
      <c r="H53" s="654"/>
      <c r="I53" s="657"/>
      <c r="J53" s="660"/>
      <c r="K53" s="663"/>
      <c r="L53" s="618"/>
      <c r="M53" s="618"/>
      <c r="N53" s="144">
        <v>44946</v>
      </c>
      <c r="O53" s="648"/>
      <c r="P53" s="145">
        <v>83387.759999999995</v>
      </c>
      <c r="Q53" s="146">
        <v>44967</v>
      </c>
      <c r="R53" s="147"/>
      <c r="S53" s="145"/>
      <c r="T53" s="145"/>
      <c r="U53" s="654"/>
      <c r="V53" s="666"/>
      <c r="W53" s="645"/>
      <c r="X53" s="2">
        <v>22</v>
      </c>
    </row>
    <row r="54" spans="1:24" s="2" customFormat="1" x14ac:dyDescent="0.3">
      <c r="A54" s="671"/>
      <c r="B54" s="618"/>
      <c r="C54" s="618"/>
      <c r="D54" s="618"/>
      <c r="E54" s="618"/>
      <c r="F54" s="648"/>
      <c r="G54" s="651"/>
      <c r="H54" s="654"/>
      <c r="I54" s="657"/>
      <c r="J54" s="660"/>
      <c r="K54" s="663"/>
      <c r="L54" s="618"/>
      <c r="M54" s="618"/>
      <c r="N54" s="144">
        <v>44957</v>
      </c>
      <c r="O54" s="648"/>
      <c r="P54" s="145">
        <v>58732.75</v>
      </c>
      <c r="Q54" s="146">
        <v>44970</v>
      </c>
      <c r="R54" s="147"/>
      <c r="S54" s="145"/>
      <c r="T54" s="145"/>
      <c r="U54" s="654"/>
      <c r="V54" s="666"/>
      <c r="W54" s="645"/>
      <c r="X54" s="2">
        <v>22</v>
      </c>
    </row>
    <row r="55" spans="1:24" s="2" customFormat="1" x14ac:dyDescent="0.3">
      <c r="A55" s="671"/>
      <c r="B55" s="618"/>
      <c r="C55" s="618"/>
      <c r="D55" s="618"/>
      <c r="E55" s="618"/>
      <c r="F55" s="648"/>
      <c r="G55" s="651"/>
      <c r="H55" s="654"/>
      <c r="I55" s="657"/>
      <c r="J55" s="660"/>
      <c r="K55" s="663"/>
      <c r="L55" s="618"/>
      <c r="M55" s="618"/>
      <c r="N55" s="144">
        <v>44957</v>
      </c>
      <c r="O55" s="648"/>
      <c r="P55" s="145">
        <v>3748.98</v>
      </c>
      <c r="Q55" s="146">
        <v>44970</v>
      </c>
      <c r="R55" s="147"/>
      <c r="S55" s="145"/>
      <c r="T55" s="145"/>
      <c r="U55" s="654"/>
      <c r="V55" s="666"/>
      <c r="W55" s="645"/>
      <c r="X55" s="2">
        <v>22</v>
      </c>
    </row>
    <row r="56" spans="1:24" s="2" customFormat="1" x14ac:dyDescent="0.3">
      <c r="A56" s="671"/>
      <c r="B56" s="618"/>
      <c r="C56" s="618"/>
      <c r="D56" s="618"/>
      <c r="E56" s="618"/>
      <c r="F56" s="648"/>
      <c r="G56" s="651"/>
      <c r="H56" s="654"/>
      <c r="I56" s="657"/>
      <c r="J56" s="660"/>
      <c r="K56" s="663"/>
      <c r="L56" s="618"/>
      <c r="M56" s="618"/>
      <c r="N56" s="144">
        <v>44960</v>
      </c>
      <c r="O56" s="648"/>
      <c r="P56" s="145">
        <v>24513.31</v>
      </c>
      <c r="Q56" s="146">
        <v>44970</v>
      </c>
      <c r="R56" s="147"/>
      <c r="S56" s="145"/>
      <c r="T56" s="145"/>
      <c r="U56" s="654"/>
      <c r="V56" s="666"/>
      <c r="W56" s="645"/>
      <c r="X56" s="2">
        <v>22</v>
      </c>
    </row>
    <row r="57" spans="1:24" s="2" customFormat="1" x14ac:dyDescent="0.3">
      <c r="A57" s="671"/>
      <c r="B57" s="618"/>
      <c r="C57" s="618"/>
      <c r="D57" s="618"/>
      <c r="E57" s="618"/>
      <c r="F57" s="648"/>
      <c r="G57" s="651"/>
      <c r="H57" s="654"/>
      <c r="I57" s="657"/>
      <c r="J57" s="660"/>
      <c r="K57" s="663"/>
      <c r="L57" s="618"/>
      <c r="M57" s="618"/>
      <c r="N57" s="144">
        <v>44960</v>
      </c>
      <c r="O57" s="648"/>
      <c r="P57" s="145">
        <v>1564.71</v>
      </c>
      <c r="Q57" s="146">
        <v>44970</v>
      </c>
      <c r="R57" s="147"/>
      <c r="S57" s="145"/>
      <c r="T57" s="145"/>
      <c r="U57" s="654"/>
      <c r="V57" s="666"/>
      <c r="W57" s="645"/>
      <c r="X57" s="2">
        <v>22</v>
      </c>
    </row>
    <row r="58" spans="1:24" s="2" customFormat="1" x14ac:dyDescent="0.3">
      <c r="A58" s="671"/>
      <c r="B58" s="618"/>
      <c r="C58" s="618"/>
      <c r="D58" s="618"/>
      <c r="E58" s="618"/>
      <c r="F58" s="648"/>
      <c r="G58" s="651"/>
      <c r="H58" s="654"/>
      <c r="I58" s="657"/>
      <c r="J58" s="660"/>
      <c r="K58" s="663"/>
      <c r="L58" s="618"/>
      <c r="M58" s="618"/>
      <c r="N58" s="144">
        <v>44974</v>
      </c>
      <c r="O58" s="648"/>
      <c r="P58" s="145">
        <v>65463.29</v>
      </c>
      <c r="Q58" s="146">
        <v>44986</v>
      </c>
      <c r="R58" s="147"/>
      <c r="S58" s="145"/>
      <c r="T58" s="145"/>
      <c r="U58" s="654"/>
      <c r="V58" s="666"/>
      <c r="W58" s="645"/>
      <c r="X58" s="2">
        <v>22</v>
      </c>
    </row>
    <row r="59" spans="1:24" s="2" customFormat="1" x14ac:dyDescent="0.3">
      <c r="A59" s="671"/>
      <c r="B59" s="618"/>
      <c r="C59" s="618"/>
      <c r="D59" s="618"/>
      <c r="E59" s="618"/>
      <c r="F59" s="648"/>
      <c r="G59" s="651"/>
      <c r="H59" s="654"/>
      <c r="I59" s="657"/>
      <c r="J59" s="660"/>
      <c r="K59" s="663"/>
      <c r="L59" s="618"/>
      <c r="M59" s="618"/>
      <c r="N59" s="144">
        <v>44974</v>
      </c>
      <c r="O59" s="648"/>
      <c r="P59" s="145">
        <v>4178.59</v>
      </c>
      <c r="Q59" s="146">
        <v>44986</v>
      </c>
      <c r="R59" s="147"/>
      <c r="S59" s="145"/>
      <c r="T59" s="145"/>
      <c r="U59" s="654"/>
      <c r="V59" s="666"/>
      <c r="W59" s="645"/>
      <c r="X59" s="2">
        <v>22</v>
      </c>
    </row>
    <row r="60" spans="1:24" s="2" customFormat="1" x14ac:dyDescent="0.3">
      <c r="A60" s="671"/>
      <c r="B60" s="618"/>
      <c r="C60" s="618"/>
      <c r="D60" s="618"/>
      <c r="E60" s="618"/>
      <c r="F60" s="648"/>
      <c r="G60" s="651"/>
      <c r="H60" s="654"/>
      <c r="I60" s="657"/>
      <c r="J60" s="660"/>
      <c r="K60" s="663"/>
      <c r="L60" s="618"/>
      <c r="M60" s="618"/>
      <c r="N60" s="144">
        <v>44985</v>
      </c>
      <c r="O60" s="648"/>
      <c r="P60" s="145">
        <v>40595.74</v>
      </c>
      <c r="Q60" s="146">
        <v>45002</v>
      </c>
      <c r="R60" s="147"/>
      <c r="S60" s="145"/>
      <c r="T60" s="145"/>
      <c r="U60" s="654"/>
      <c r="V60" s="666"/>
      <c r="W60" s="645"/>
      <c r="X60" s="2">
        <v>22</v>
      </c>
    </row>
    <row r="61" spans="1:24" s="2" customFormat="1" x14ac:dyDescent="0.3">
      <c r="A61" s="672"/>
      <c r="B61" s="619"/>
      <c r="C61" s="619"/>
      <c r="D61" s="619"/>
      <c r="E61" s="619"/>
      <c r="F61" s="649"/>
      <c r="G61" s="652"/>
      <c r="H61" s="655"/>
      <c r="I61" s="658"/>
      <c r="J61" s="661"/>
      <c r="K61" s="664"/>
      <c r="L61" s="619"/>
      <c r="M61" s="619"/>
      <c r="N61" s="140">
        <v>44985</v>
      </c>
      <c r="O61" s="649"/>
      <c r="P61" s="141">
        <v>2591.27</v>
      </c>
      <c r="Q61" s="142">
        <v>45002</v>
      </c>
      <c r="R61" s="143"/>
      <c r="S61" s="141"/>
      <c r="T61" s="141"/>
      <c r="U61" s="655"/>
      <c r="V61" s="667"/>
      <c r="W61" s="646"/>
      <c r="X61" s="2">
        <v>22</v>
      </c>
    </row>
    <row r="62" spans="1:24" s="108" customFormat="1" ht="187.5" customHeight="1" x14ac:dyDescent="0.3">
      <c r="A62" s="670">
        <v>6</v>
      </c>
      <c r="B62" s="617" t="s">
        <v>56</v>
      </c>
      <c r="C62" s="617" t="s">
        <v>146</v>
      </c>
      <c r="D62" s="617" t="s">
        <v>147</v>
      </c>
      <c r="E62" s="617" t="s">
        <v>110</v>
      </c>
      <c r="F62" s="647">
        <v>44951</v>
      </c>
      <c r="G62" s="650" t="s">
        <v>189</v>
      </c>
      <c r="H62" s="653">
        <v>120250</v>
      </c>
      <c r="I62" s="656">
        <f>IF(X62 = 23, H62 + SUM(S62:S66) - SUM(T62:T66) - SUM(P62:P66) - V62,0)</f>
        <v>0</v>
      </c>
      <c r="J62" s="659">
        <v>2353020735</v>
      </c>
      <c r="K62" s="662" t="s">
        <v>157</v>
      </c>
      <c r="L62" s="617" t="s">
        <v>146</v>
      </c>
      <c r="M62" s="617"/>
      <c r="N62" s="136">
        <v>44946</v>
      </c>
      <c r="O62" s="647" t="s">
        <v>181</v>
      </c>
      <c r="P62" s="137">
        <v>29425</v>
      </c>
      <c r="Q62" s="138">
        <v>44965</v>
      </c>
      <c r="R62" s="139"/>
      <c r="S62" s="137"/>
      <c r="T62" s="137"/>
      <c r="U62" s="653"/>
      <c r="V62" s="665">
        <v>24025</v>
      </c>
      <c r="W62" s="644"/>
      <c r="X62" s="108">
        <v>23</v>
      </c>
    </row>
    <row r="63" spans="1:24" s="2" customFormat="1" x14ac:dyDescent="0.3">
      <c r="A63" s="671"/>
      <c r="B63" s="618"/>
      <c r="C63" s="618"/>
      <c r="D63" s="618"/>
      <c r="E63" s="618"/>
      <c r="F63" s="648"/>
      <c r="G63" s="651"/>
      <c r="H63" s="654"/>
      <c r="I63" s="657"/>
      <c r="J63" s="660"/>
      <c r="K63" s="663"/>
      <c r="L63" s="618"/>
      <c r="M63" s="618"/>
      <c r="N63" s="144">
        <v>44957</v>
      </c>
      <c r="O63" s="648"/>
      <c r="P63" s="145">
        <v>20725</v>
      </c>
      <c r="Q63" s="146">
        <v>44970</v>
      </c>
      <c r="R63" s="147"/>
      <c r="S63" s="145"/>
      <c r="T63" s="145"/>
      <c r="U63" s="654"/>
      <c r="V63" s="666"/>
      <c r="W63" s="645"/>
      <c r="X63" s="2">
        <v>23</v>
      </c>
    </row>
    <row r="64" spans="1:24" s="2" customFormat="1" x14ac:dyDescent="0.3">
      <c r="A64" s="671"/>
      <c r="B64" s="618"/>
      <c r="C64" s="618"/>
      <c r="D64" s="618"/>
      <c r="E64" s="618"/>
      <c r="F64" s="648"/>
      <c r="G64" s="651"/>
      <c r="H64" s="654"/>
      <c r="I64" s="657"/>
      <c r="J64" s="660"/>
      <c r="K64" s="663"/>
      <c r="L64" s="618"/>
      <c r="M64" s="618"/>
      <c r="N64" s="144">
        <v>44960</v>
      </c>
      <c r="O64" s="648"/>
      <c r="P64" s="145">
        <v>8650</v>
      </c>
      <c r="Q64" s="146">
        <v>44970</v>
      </c>
      <c r="R64" s="147"/>
      <c r="S64" s="145"/>
      <c r="T64" s="145"/>
      <c r="U64" s="654"/>
      <c r="V64" s="666"/>
      <c r="W64" s="645"/>
      <c r="X64" s="2">
        <v>23</v>
      </c>
    </row>
    <row r="65" spans="1:24" s="2" customFormat="1" x14ac:dyDescent="0.3">
      <c r="A65" s="671"/>
      <c r="B65" s="618"/>
      <c r="C65" s="618"/>
      <c r="D65" s="618"/>
      <c r="E65" s="618"/>
      <c r="F65" s="648"/>
      <c r="G65" s="651"/>
      <c r="H65" s="654"/>
      <c r="I65" s="657"/>
      <c r="J65" s="660"/>
      <c r="K65" s="663"/>
      <c r="L65" s="618"/>
      <c r="M65" s="618"/>
      <c r="N65" s="144">
        <v>44974</v>
      </c>
      <c r="O65" s="648"/>
      <c r="P65" s="145">
        <v>23100</v>
      </c>
      <c r="Q65" s="146">
        <v>44986</v>
      </c>
      <c r="R65" s="147"/>
      <c r="S65" s="145"/>
      <c r="T65" s="145"/>
      <c r="U65" s="654"/>
      <c r="V65" s="666"/>
      <c r="W65" s="645"/>
      <c r="X65" s="2">
        <v>23</v>
      </c>
    </row>
    <row r="66" spans="1:24" s="2" customFormat="1" x14ac:dyDescent="0.3">
      <c r="A66" s="672"/>
      <c r="B66" s="619"/>
      <c r="C66" s="619"/>
      <c r="D66" s="619"/>
      <c r="E66" s="619"/>
      <c r="F66" s="649"/>
      <c r="G66" s="652"/>
      <c r="H66" s="655"/>
      <c r="I66" s="658"/>
      <c r="J66" s="661"/>
      <c r="K66" s="664"/>
      <c r="L66" s="619"/>
      <c r="M66" s="619"/>
      <c r="N66" s="140">
        <v>44985</v>
      </c>
      <c r="O66" s="649"/>
      <c r="P66" s="141">
        <v>14325</v>
      </c>
      <c r="Q66" s="142">
        <v>44995</v>
      </c>
      <c r="R66" s="143"/>
      <c r="S66" s="141"/>
      <c r="T66" s="141"/>
      <c r="U66" s="655"/>
      <c r="V66" s="667"/>
      <c r="W66" s="646"/>
      <c r="X66" s="2">
        <v>23</v>
      </c>
    </row>
    <row r="67" spans="1:24" s="108" customFormat="1" ht="108" x14ac:dyDescent="0.3">
      <c r="A67" s="124">
        <v>7</v>
      </c>
      <c r="B67" s="125" t="s">
        <v>56</v>
      </c>
      <c r="C67" s="125" t="s">
        <v>146</v>
      </c>
      <c r="D67" s="125" t="s">
        <v>195</v>
      </c>
      <c r="E67" s="125" t="s">
        <v>112</v>
      </c>
      <c r="F67" s="135">
        <v>44951</v>
      </c>
      <c r="G67" s="126" t="s">
        <v>196</v>
      </c>
      <c r="H67" s="127">
        <v>49130</v>
      </c>
      <c r="I67" s="128">
        <f>IF(X67 = 24, H67 + SUM(S67:S67) - SUM(T67:T67) - SUM(P67:P67) - V67,0)</f>
        <v>0</v>
      </c>
      <c r="J67" s="129">
        <v>235303483777</v>
      </c>
      <c r="K67" s="130" t="s">
        <v>197</v>
      </c>
      <c r="L67" s="125" t="s">
        <v>146</v>
      </c>
      <c r="M67" s="125"/>
      <c r="N67" s="135">
        <v>44951</v>
      </c>
      <c r="O67" s="135" t="s">
        <v>181</v>
      </c>
      <c r="P67" s="127">
        <v>49130</v>
      </c>
      <c r="Q67" s="126">
        <v>44953</v>
      </c>
      <c r="R67" s="125"/>
      <c r="S67" s="127"/>
      <c r="T67" s="127"/>
      <c r="U67" s="127"/>
      <c r="V67" s="131"/>
      <c r="W67" s="133"/>
      <c r="X67" s="108">
        <v>24</v>
      </c>
    </row>
    <row r="68" spans="1:24" s="108" customFormat="1" ht="131.25" customHeight="1" x14ac:dyDescent="0.3">
      <c r="A68" s="592">
        <v>8</v>
      </c>
      <c r="B68" s="564" t="s">
        <v>56</v>
      </c>
      <c r="C68" s="564" t="s">
        <v>146</v>
      </c>
      <c r="D68" s="564" t="s">
        <v>199</v>
      </c>
      <c r="E68" s="564" t="s">
        <v>114</v>
      </c>
      <c r="F68" s="570">
        <v>44951</v>
      </c>
      <c r="G68" s="687" t="s">
        <v>198</v>
      </c>
      <c r="H68" s="572">
        <v>119880</v>
      </c>
      <c r="I68" s="574">
        <f>IF(X68 = 25, H68 + SUM(S68:S77) - SUM(T68:T77) - SUM(P68:P77) - V68,0)</f>
        <v>0</v>
      </c>
      <c r="J68" s="689">
        <v>2353020735</v>
      </c>
      <c r="K68" s="691" t="s">
        <v>157</v>
      </c>
      <c r="L68" s="564" t="s">
        <v>146</v>
      </c>
      <c r="M68" s="564"/>
      <c r="N68" s="263">
        <v>44957</v>
      </c>
      <c r="O68" s="570" t="s">
        <v>181</v>
      </c>
      <c r="P68" s="257">
        <v>8190</v>
      </c>
      <c r="Q68" s="258">
        <v>44970</v>
      </c>
      <c r="R68" s="259"/>
      <c r="S68" s="257"/>
      <c r="T68" s="257"/>
      <c r="U68" s="572" t="s">
        <v>344</v>
      </c>
      <c r="V68" s="700">
        <v>36644</v>
      </c>
      <c r="W68" s="566"/>
      <c r="X68" s="108">
        <v>25</v>
      </c>
    </row>
    <row r="69" spans="1:24" s="2" customFormat="1" x14ac:dyDescent="0.3">
      <c r="A69" s="673"/>
      <c r="B69" s="674"/>
      <c r="C69" s="674"/>
      <c r="D69" s="674"/>
      <c r="E69" s="674"/>
      <c r="F69" s="694"/>
      <c r="G69" s="695"/>
      <c r="H69" s="696"/>
      <c r="I69" s="697"/>
      <c r="J69" s="698"/>
      <c r="K69" s="699"/>
      <c r="L69" s="674"/>
      <c r="M69" s="674"/>
      <c r="N69" s="268">
        <v>44951</v>
      </c>
      <c r="O69" s="694"/>
      <c r="P69" s="265">
        <v>10764</v>
      </c>
      <c r="Q69" s="266">
        <v>44970</v>
      </c>
      <c r="R69" s="267"/>
      <c r="S69" s="265"/>
      <c r="T69" s="265"/>
      <c r="U69" s="696"/>
      <c r="V69" s="701"/>
      <c r="W69" s="693"/>
      <c r="X69" s="2">
        <v>25</v>
      </c>
    </row>
    <row r="70" spans="1:24" s="2" customFormat="1" x14ac:dyDescent="0.3">
      <c r="A70" s="673"/>
      <c r="B70" s="674"/>
      <c r="C70" s="674"/>
      <c r="D70" s="674"/>
      <c r="E70" s="674"/>
      <c r="F70" s="694"/>
      <c r="G70" s="695"/>
      <c r="H70" s="696"/>
      <c r="I70" s="697"/>
      <c r="J70" s="698"/>
      <c r="K70" s="699"/>
      <c r="L70" s="674"/>
      <c r="M70" s="674"/>
      <c r="N70" s="268">
        <v>44985</v>
      </c>
      <c r="O70" s="694"/>
      <c r="P70" s="265">
        <v>6430</v>
      </c>
      <c r="Q70" s="266">
        <v>44995</v>
      </c>
      <c r="R70" s="267"/>
      <c r="S70" s="265"/>
      <c r="T70" s="265"/>
      <c r="U70" s="696"/>
      <c r="V70" s="701"/>
      <c r="W70" s="693"/>
      <c r="X70" s="2">
        <v>25</v>
      </c>
    </row>
    <row r="71" spans="1:24" s="2" customFormat="1" x14ac:dyDescent="0.3">
      <c r="A71" s="673"/>
      <c r="B71" s="674"/>
      <c r="C71" s="674"/>
      <c r="D71" s="674"/>
      <c r="E71" s="674"/>
      <c r="F71" s="694"/>
      <c r="G71" s="695"/>
      <c r="H71" s="696"/>
      <c r="I71" s="697"/>
      <c r="J71" s="698"/>
      <c r="K71" s="699"/>
      <c r="L71" s="674"/>
      <c r="M71" s="674"/>
      <c r="N71" s="268">
        <v>44985</v>
      </c>
      <c r="O71" s="694"/>
      <c r="P71" s="265">
        <v>11316</v>
      </c>
      <c r="Q71" s="266">
        <v>44995</v>
      </c>
      <c r="R71" s="267"/>
      <c r="S71" s="265"/>
      <c r="T71" s="265"/>
      <c r="U71" s="696"/>
      <c r="V71" s="701"/>
      <c r="W71" s="693"/>
      <c r="X71" s="2">
        <v>25</v>
      </c>
    </row>
    <row r="72" spans="1:24" s="2" customFormat="1" x14ac:dyDescent="0.3">
      <c r="A72" s="673"/>
      <c r="B72" s="674"/>
      <c r="C72" s="674"/>
      <c r="D72" s="674"/>
      <c r="E72" s="674"/>
      <c r="F72" s="694"/>
      <c r="G72" s="695"/>
      <c r="H72" s="696"/>
      <c r="I72" s="697"/>
      <c r="J72" s="698"/>
      <c r="K72" s="699"/>
      <c r="L72" s="674"/>
      <c r="M72" s="674"/>
      <c r="N72" s="268">
        <v>45009</v>
      </c>
      <c r="O72" s="694"/>
      <c r="P72" s="265">
        <v>6030</v>
      </c>
      <c r="Q72" s="266">
        <v>45023</v>
      </c>
      <c r="R72" s="267"/>
      <c r="S72" s="265"/>
      <c r="T72" s="265"/>
      <c r="U72" s="696"/>
      <c r="V72" s="701"/>
      <c r="W72" s="693"/>
      <c r="X72" s="2">
        <v>25</v>
      </c>
    </row>
    <row r="73" spans="1:24" s="2" customFormat="1" x14ac:dyDescent="0.3">
      <c r="A73" s="673"/>
      <c r="B73" s="674"/>
      <c r="C73" s="674"/>
      <c r="D73" s="674"/>
      <c r="E73" s="674"/>
      <c r="F73" s="694"/>
      <c r="G73" s="695"/>
      <c r="H73" s="696"/>
      <c r="I73" s="697"/>
      <c r="J73" s="698"/>
      <c r="K73" s="699"/>
      <c r="L73" s="674"/>
      <c r="M73" s="674"/>
      <c r="N73" s="268">
        <v>45009</v>
      </c>
      <c r="O73" s="694"/>
      <c r="P73" s="265">
        <v>10830</v>
      </c>
      <c r="Q73" s="266">
        <v>45023</v>
      </c>
      <c r="R73" s="267"/>
      <c r="S73" s="265"/>
      <c r="T73" s="265"/>
      <c r="U73" s="696"/>
      <c r="V73" s="701"/>
      <c r="W73" s="693"/>
      <c r="X73" s="2">
        <v>25</v>
      </c>
    </row>
    <row r="74" spans="1:24" s="2" customFormat="1" x14ac:dyDescent="0.3">
      <c r="A74" s="673"/>
      <c r="B74" s="674"/>
      <c r="C74" s="674"/>
      <c r="D74" s="674"/>
      <c r="E74" s="674"/>
      <c r="F74" s="694"/>
      <c r="G74" s="695"/>
      <c r="H74" s="696"/>
      <c r="I74" s="697"/>
      <c r="J74" s="698"/>
      <c r="K74" s="699"/>
      <c r="L74" s="674"/>
      <c r="M74" s="674"/>
      <c r="N74" s="268">
        <v>45044</v>
      </c>
      <c r="O74" s="694"/>
      <c r="P74" s="265">
        <v>11616</v>
      </c>
      <c r="Q74" s="266">
        <v>45061</v>
      </c>
      <c r="R74" s="267"/>
      <c r="S74" s="265"/>
      <c r="T74" s="265"/>
      <c r="U74" s="696"/>
      <c r="V74" s="701"/>
      <c r="W74" s="693"/>
      <c r="X74" s="2">
        <v>25</v>
      </c>
    </row>
    <row r="75" spans="1:24" s="2" customFormat="1" x14ac:dyDescent="0.3">
      <c r="A75" s="673"/>
      <c r="B75" s="674"/>
      <c r="C75" s="674"/>
      <c r="D75" s="674"/>
      <c r="E75" s="674"/>
      <c r="F75" s="694"/>
      <c r="G75" s="695"/>
      <c r="H75" s="696"/>
      <c r="I75" s="697"/>
      <c r="J75" s="698"/>
      <c r="K75" s="699"/>
      <c r="L75" s="674"/>
      <c r="M75" s="674"/>
      <c r="N75" s="268">
        <v>45044</v>
      </c>
      <c r="O75" s="694"/>
      <c r="P75" s="265">
        <v>6230</v>
      </c>
      <c r="Q75" s="266">
        <v>45061</v>
      </c>
      <c r="R75" s="267"/>
      <c r="S75" s="265"/>
      <c r="T75" s="265"/>
      <c r="U75" s="696"/>
      <c r="V75" s="701"/>
      <c r="W75" s="693"/>
      <c r="X75" s="2">
        <v>25</v>
      </c>
    </row>
    <row r="76" spans="1:24" s="2" customFormat="1" x14ac:dyDescent="0.3">
      <c r="A76" s="673"/>
      <c r="B76" s="674"/>
      <c r="C76" s="674"/>
      <c r="D76" s="674"/>
      <c r="E76" s="674"/>
      <c r="F76" s="694"/>
      <c r="G76" s="695"/>
      <c r="H76" s="696"/>
      <c r="I76" s="697"/>
      <c r="J76" s="698"/>
      <c r="K76" s="699"/>
      <c r="L76" s="674"/>
      <c r="M76" s="674"/>
      <c r="N76" s="268">
        <v>45065</v>
      </c>
      <c r="O76" s="694"/>
      <c r="P76" s="265">
        <v>7590</v>
      </c>
      <c r="Q76" s="266">
        <v>45079</v>
      </c>
      <c r="R76" s="267"/>
      <c r="S76" s="265"/>
      <c r="T76" s="265"/>
      <c r="U76" s="696"/>
      <c r="V76" s="701"/>
      <c r="W76" s="693"/>
      <c r="X76" s="2">
        <v>25</v>
      </c>
    </row>
    <row r="77" spans="1:24" s="2" customFormat="1" x14ac:dyDescent="0.3">
      <c r="A77" s="593"/>
      <c r="B77" s="565"/>
      <c r="C77" s="565"/>
      <c r="D77" s="565"/>
      <c r="E77" s="565"/>
      <c r="F77" s="571"/>
      <c r="G77" s="688"/>
      <c r="H77" s="573"/>
      <c r="I77" s="575"/>
      <c r="J77" s="690"/>
      <c r="K77" s="692"/>
      <c r="L77" s="565"/>
      <c r="M77" s="565"/>
      <c r="N77" s="264">
        <v>45065</v>
      </c>
      <c r="O77" s="571"/>
      <c r="P77" s="260">
        <v>4240</v>
      </c>
      <c r="Q77" s="261">
        <v>45079</v>
      </c>
      <c r="R77" s="262"/>
      <c r="S77" s="260"/>
      <c r="T77" s="260"/>
      <c r="U77" s="573"/>
      <c r="V77" s="702"/>
      <c r="W77" s="567"/>
      <c r="X77" s="2">
        <v>25</v>
      </c>
    </row>
    <row r="78" spans="1:24" s="108" customFormat="1" ht="131.25" customHeight="1" x14ac:dyDescent="0.3">
      <c r="A78" s="548">
        <v>9</v>
      </c>
      <c r="B78" s="475" t="s">
        <v>56</v>
      </c>
      <c r="C78" s="475" t="s">
        <v>146</v>
      </c>
      <c r="D78" s="475" t="s">
        <v>147</v>
      </c>
      <c r="E78" s="475" t="s">
        <v>115</v>
      </c>
      <c r="F78" s="550">
        <v>44951</v>
      </c>
      <c r="G78" s="606" t="s">
        <v>200</v>
      </c>
      <c r="H78" s="552">
        <v>4500</v>
      </c>
      <c r="I78" s="560">
        <f>IF(X78 = 26, H78 + SUM(S78:S81) - SUM(T78:T81) - SUM(P78:P81) - V78,0)</f>
        <v>0</v>
      </c>
      <c r="J78" s="611">
        <v>2353020735</v>
      </c>
      <c r="K78" s="614" t="s">
        <v>157</v>
      </c>
      <c r="L78" s="475" t="s">
        <v>146</v>
      </c>
      <c r="M78" s="475"/>
      <c r="N78" s="197">
        <v>44951</v>
      </c>
      <c r="O78" s="550" t="s">
        <v>181</v>
      </c>
      <c r="P78" s="188">
        <v>1250</v>
      </c>
      <c r="Q78" s="189">
        <v>44970</v>
      </c>
      <c r="R78" s="190"/>
      <c r="S78" s="188"/>
      <c r="T78" s="188"/>
      <c r="U78" s="552"/>
      <c r="V78" s="634">
        <v>975</v>
      </c>
      <c r="W78" s="556"/>
      <c r="X78" s="108">
        <v>26</v>
      </c>
    </row>
    <row r="79" spans="1:24" s="2" customFormat="1" x14ac:dyDescent="0.3">
      <c r="A79" s="632"/>
      <c r="B79" s="633"/>
      <c r="C79" s="633"/>
      <c r="D79" s="633"/>
      <c r="E79" s="633"/>
      <c r="F79" s="605"/>
      <c r="G79" s="607"/>
      <c r="H79" s="609"/>
      <c r="I79" s="610"/>
      <c r="J79" s="612"/>
      <c r="K79" s="615"/>
      <c r="L79" s="633"/>
      <c r="M79" s="633"/>
      <c r="N79" s="198">
        <v>44985</v>
      </c>
      <c r="O79" s="605"/>
      <c r="P79" s="191">
        <v>1025</v>
      </c>
      <c r="Q79" s="192">
        <v>44995</v>
      </c>
      <c r="R79" s="193"/>
      <c r="S79" s="191"/>
      <c r="T79" s="191"/>
      <c r="U79" s="609"/>
      <c r="V79" s="635"/>
      <c r="W79" s="627"/>
      <c r="X79" s="2">
        <v>26</v>
      </c>
    </row>
    <row r="80" spans="1:24" s="2" customFormat="1" x14ac:dyDescent="0.3">
      <c r="A80" s="632"/>
      <c r="B80" s="633"/>
      <c r="C80" s="633"/>
      <c r="D80" s="633"/>
      <c r="E80" s="633"/>
      <c r="F80" s="605"/>
      <c r="G80" s="607"/>
      <c r="H80" s="609"/>
      <c r="I80" s="610"/>
      <c r="J80" s="612"/>
      <c r="K80" s="615"/>
      <c r="L80" s="633"/>
      <c r="M80" s="633"/>
      <c r="N80" s="198">
        <v>45009</v>
      </c>
      <c r="O80" s="605"/>
      <c r="P80" s="191">
        <v>1250</v>
      </c>
      <c r="Q80" s="192">
        <v>45016</v>
      </c>
      <c r="R80" s="193"/>
      <c r="S80" s="191"/>
      <c r="T80" s="191"/>
      <c r="U80" s="609"/>
      <c r="V80" s="635"/>
      <c r="W80" s="627"/>
      <c r="X80" s="2">
        <v>26</v>
      </c>
    </row>
    <row r="81" spans="1:24" s="2" customFormat="1" x14ac:dyDescent="0.3">
      <c r="A81" s="549"/>
      <c r="B81" s="476"/>
      <c r="C81" s="476"/>
      <c r="D81" s="476"/>
      <c r="E81" s="476"/>
      <c r="F81" s="551"/>
      <c r="G81" s="608"/>
      <c r="H81" s="553"/>
      <c r="I81" s="561"/>
      <c r="J81" s="613"/>
      <c r="K81" s="616"/>
      <c r="L81" s="476"/>
      <c r="M81" s="476"/>
      <c r="N81" s="199"/>
      <c r="O81" s="551"/>
      <c r="P81" s="194"/>
      <c r="Q81" s="195"/>
      <c r="R81" s="196"/>
      <c r="S81" s="194"/>
      <c r="T81" s="194"/>
      <c r="U81" s="553"/>
      <c r="V81" s="636"/>
      <c r="W81" s="557"/>
      <c r="X81" s="2">
        <v>26</v>
      </c>
    </row>
    <row r="82" spans="1:24" s="108" customFormat="1" ht="131.25" customHeight="1" x14ac:dyDescent="0.3">
      <c r="A82" s="548">
        <v>10</v>
      </c>
      <c r="B82" s="475" t="s">
        <v>56</v>
      </c>
      <c r="C82" s="475" t="s">
        <v>146</v>
      </c>
      <c r="D82" s="475" t="s">
        <v>147</v>
      </c>
      <c r="E82" s="475" t="s">
        <v>116</v>
      </c>
      <c r="F82" s="550">
        <v>44951</v>
      </c>
      <c r="G82" s="606" t="s">
        <v>200</v>
      </c>
      <c r="H82" s="552">
        <v>23879.7</v>
      </c>
      <c r="I82" s="560">
        <f>IF(X82 = 27, H82 + SUM(S82:S84) - SUM(T82:T84) - SUM(P82:P84) - V82,0)</f>
        <v>1.8189894035458565E-12</v>
      </c>
      <c r="J82" s="611">
        <v>2353020735</v>
      </c>
      <c r="K82" s="614" t="s">
        <v>157</v>
      </c>
      <c r="L82" s="475" t="s">
        <v>146</v>
      </c>
      <c r="M82" s="475"/>
      <c r="N82" s="197">
        <v>44957</v>
      </c>
      <c r="O82" s="550" t="s">
        <v>181</v>
      </c>
      <c r="P82" s="188">
        <v>4416.4799999999996</v>
      </c>
      <c r="Q82" s="189">
        <v>44970</v>
      </c>
      <c r="R82" s="190"/>
      <c r="S82" s="188"/>
      <c r="T82" s="188"/>
      <c r="U82" s="552" t="s">
        <v>344</v>
      </c>
      <c r="V82" s="634">
        <v>11392.13</v>
      </c>
      <c r="W82" s="556"/>
      <c r="X82" s="108">
        <v>27</v>
      </c>
    </row>
    <row r="83" spans="1:24" s="2" customFormat="1" x14ac:dyDescent="0.3">
      <c r="A83" s="632"/>
      <c r="B83" s="633"/>
      <c r="C83" s="633"/>
      <c r="D83" s="633"/>
      <c r="E83" s="633"/>
      <c r="F83" s="605"/>
      <c r="G83" s="607"/>
      <c r="H83" s="609"/>
      <c r="I83" s="610"/>
      <c r="J83" s="612"/>
      <c r="K83" s="615"/>
      <c r="L83" s="633"/>
      <c r="M83" s="633"/>
      <c r="N83" s="198">
        <v>44985</v>
      </c>
      <c r="O83" s="605"/>
      <c r="P83" s="191">
        <v>3654.61</v>
      </c>
      <c r="Q83" s="192">
        <v>44995</v>
      </c>
      <c r="R83" s="193"/>
      <c r="S83" s="191"/>
      <c r="T83" s="191"/>
      <c r="U83" s="609"/>
      <c r="V83" s="635"/>
      <c r="W83" s="627"/>
      <c r="X83" s="2">
        <v>27</v>
      </c>
    </row>
    <row r="84" spans="1:24" s="2" customFormat="1" x14ac:dyDescent="0.3">
      <c r="A84" s="549"/>
      <c r="B84" s="476"/>
      <c r="C84" s="476"/>
      <c r="D84" s="476"/>
      <c r="E84" s="476"/>
      <c r="F84" s="551"/>
      <c r="G84" s="608"/>
      <c r="H84" s="553"/>
      <c r="I84" s="561"/>
      <c r="J84" s="613"/>
      <c r="K84" s="616"/>
      <c r="L84" s="476"/>
      <c r="M84" s="476"/>
      <c r="N84" s="199">
        <v>45009</v>
      </c>
      <c r="O84" s="551"/>
      <c r="P84" s="194">
        <v>4416.4799999999996</v>
      </c>
      <c r="Q84" s="195">
        <v>45023</v>
      </c>
      <c r="R84" s="196"/>
      <c r="S84" s="194"/>
      <c r="T84" s="194"/>
      <c r="U84" s="553"/>
      <c r="V84" s="636"/>
      <c r="W84" s="557"/>
      <c r="X84" s="2">
        <v>27</v>
      </c>
    </row>
    <row r="85" spans="1:24" s="108" customFormat="1" ht="131.25" customHeight="1" x14ac:dyDescent="0.3">
      <c r="A85" s="548">
        <v>11</v>
      </c>
      <c r="B85" s="475" t="s">
        <v>56</v>
      </c>
      <c r="C85" s="475" t="s">
        <v>146</v>
      </c>
      <c r="D85" s="475" t="s">
        <v>147</v>
      </c>
      <c r="E85" s="475" t="s">
        <v>117</v>
      </c>
      <c r="F85" s="550">
        <v>44951</v>
      </c>
      <c r="G85" s="606" t="s">
        <v>201</v>
      </c>
      <c r="H85" s="552">
        <v>31500</v>
      </c>
      <c r="I85" s="560">
        <f>IF(X85 = 28, H85 + SUM(S85:S88) - SUM(T85:T88) - SUM(P85:P88) - V85,0)</f>
        <v>0</v>
      </c>
      <c r="J85" s="611">
        <v>2353020735</v>
      </c>
      <c r="K85" s="614" t="s">
        <v>157</v>
      </c>
      <c r="L85" s="475" t="s">
        <v>146</v>
      </c>
      <c r="M85" s="475"/>
      <c r="N85" s="197">
        <v>44957</v>
      </c>
      <c r="O85" s="550" t="s">
        <v>181</v>
      </c>
      <c r="P85" s="188">
        <v>8775</v>
      </c>
      <c r="Q85" s="189">
        <v>44970</v>
      </c>
      <c r="R85" s="190"/>
      <c r="S85" s="188"/>
      <c r="T85" s="188"/>
      <c r="U85" s="552" t="s">
        <v>344</v>
      </c>
      <c r="V85" s="634">
        <v>5150</v>
      </c>
      <c r="W85" s="556"/>
      <c r="X85" s="108">
        <v>28</v>
      </c>
    </row>
    <row r="86" spans="1:24" s="2" customFormat="1" x14ac:dyDescent="0.3">
      <c r="A86" s="632"/>
      <c r="B86" s="633"/>
      <c r="C86" s="633"/>
      <c r="D86" s="633"/>
      <c r="E86" s="633"/>
      <c r="F86" s="605"/>
      <c r="G86" s="607"/>
      <c r="H86" s="609"/>
      <c r="I86" s="610"/>
      <c r="J86" s="612"/>
      <c r="K86" s="615"/>
      <c r="L86" s="633"/>
      <c r="M86" s="633"/>
      <c r="N86" s="198">
        <v>44985</v>
      </c>
      <c r="O86" s="605"/>
      <c r="P86" s="191">
        <v>8950</v>
      </c>
      <c r="Q86" s="192">
        <v>44995</v>
      </c>
      <c r="R86" s="193"/>
      <c r="S86" s="191"/>
      <c r="T86" s="191"/>
      <c r="U86" s="609"/>
      <c r="V86" s="635"/>
      <c r="W86" s="627"/>
      <c r="X86" s="2">
        <v>28</v>
      </c>
    </row>
    <row r="87" spans="1:24" s="2" customFormat="1" x14ac:dyDescent="0.3">
      <c r="A87" s="632"/>
      <c r="B87" s="633"/>
      <c r="C87" s="633"/>
      <c r="D87" s="633"/>
      <c r="E87" s="633"/>
      <c r="F87" s="605"/>
      <c r="G87" s="607"/>
      <c r="H87" s="609"/>
      <c r="I87" s="610"/>
      <c r="J87" s="612"/>
      <c r="K87" s="615"/>
      <c r="L87" s="633"/>
      <c r="M87" s="633"/>
      <c r="N87" s="198">
        <v>45009</v>
      </c>
      <c r="O87" s="605"/>
      <c r="P87" s="191">
        <v>8625</v>
      </c>
      <c r="Q87" s="192">
        <v>45023</v>
      </c>
      <c r="R87" s="193"/>
      <c r="S87" s="191"/>
      <c r="T87" s="191"/>
      <c r="U87" s="609"/>
      <c r="V87" s="635"/>
      <c r="W87" s="627"/>
      <c r="X87" s="2">
        <v>28</v>
      </c>
    </row>
    <row r="88" spans="1:24" s="2" customFormat="1" x14ac:dyDescent="0.3">
      <c r="A88" s="549"/>
      <c r="B88" s="476"/>
      <c r="C88" s="476"/>
      <c r="D88" s="476"/>
      <c r="E88" s="476"/>
      <c r="F88" s="551"/>
      <c r="G88" s="608"/>
      <c r="H88" s="553"/>
      <c r="I88" s="561"/>
      <c r="J88" s="613"/>
      <c r="K88" s="616"/>
      <c r="L88" s="476"/>
      <c r="M88" s="476"/>
      <c r="N88" s="199"/>
      <c r="O88" s="551"/>
      <c r="P88" s="194"/>
      <c r="Q88" s="195"/>
      <c r="R88" s="196"/>
      <c r="S88" s="194"/>
      <c r="T88" s="194"/>
      <c r="U88" s="553"/>
      <c r="V88" s="636"/>
      <c r="W88" s="557"/>
      <c r="X88" s="2">
        <v>28</v>
      </c>
    </row>
    <row r="89" spans="1:24" s="108" customFormat="1" ht="131.25" customHeight="1" x14ac:dyDescent="0.3">
      <c r="A89" s="504">
        <v>12</v>
      </c>
      <c r="B89" s="513" t="s">
        <v>56</v>
      </c>
      <c r="C89" s="513" t="s">
        <v>146</v>
      </c>
      <c r="D89" s="513" t="s">
        <v>147</v>
      </c>
      <c r="E89" s="513" t="s">
        <v>118</v>
      </c>
      <c r="F89" s="519">
        <v>44951</v>
      </c>
      <c r="G89" s="678" t="s">
        <v>202</v>
      </c>
      <c r="H89" s="492">
        <v>175412.79</v>
      </c>
      <c r="I89" s="495">
        <f>IF(X89 = 29, H89 + SUM(S89:S100) - SUM(T89:T100) - SUM(P89:P100) - V89,0)</f>
        <v>0</v>
      </c>
      <c r="J89" s="681">
        <v>2353020735</v>
      </c>
      <c r="K89" s="684" t="s">
        <v>157</v>
      </c>
      <c r="L89" s="513" t="s">
        <v>146</v>
      </c>
      <c r="M89" s="513"/>
      <c r="N89" s="227">
        <v>44957</v>
      </c>
      <c r="O89" s="519" t="s">
        <v>181</v>
      </c>
      <c r="P89" s="218">
        <v>15204.67</v>
      </c>
      <c r="Q89" s="219">
        <v>44970</v>
      </c>
      <c r="R89" s="220"/>
      <c r="S89" s="218"/>
      <c r="T89" s="218"/>
      <c r="U89" s="492" t="s">
        <v>344</v>
      </c>
      <c r="V89" s="675">
        <v>84149.73</v>
      </c>
      <c r="W89" s="489"/>
      <c r="X89" s="108">
        <v>29</v>
      </c>
    </row>
    <row r="90" spans="1:24" s="2" customFormat="1" x14ac:dyDescent="0.3">
      <c r="A90" s="505"/>
      <c r="B90" s="514"/>
      <c r="C90" s="514"/>
      <c r="D90" s="514"/>
      <c r="E90" s="514"/>
      <c r="F90" s="520"/>
      <c r="G90" s="679"/>
      <c r="H90" s="493"/>
      <c r="I90" s="496"/>
      <c r="J90" s="682"/>
      <c r="K90" s="685"/>
      <c r="L90" s="514"/>
      <c r="M90" s="514"/>
      <c r="N90" s="228">
        <v>44957</v>
      </c>
      <c r="O90" s="520"/>
      <c r="P90" s="221">
        <v>12440.18</v>
      </c>
      <c r="Q90" s="222">
        <v>44970</v>
      </c>
      <c r="R90" s="223"/>
      <c r="S90" s="221"/>
      <c r="T90" s="221"/>
      <c r="U90" s="493"/>
      <c r="V90" s="676"/>
      <c r="W90" s="490"/>
      <c r="X90" s="2">
        <v>29</v>
      </c>
    </row>
    <row r="91" spans="1:24" s="2" customFormat="1" x14ac:dyDescent="0.3">
      <c r="A91" s="505"/>
      <c r="B91" s="514"/>
      <c r="C91" s="514"/>
      <c r="D91" s="514"/>
      <c r="E91" s="514"/>
      <c r="F91" s="520"/>
      <c r="G91" s="679"/>
      <c r="H91" s="493"/>
      <c r="I91" s="496"/>
      <c r="J91" s="682"/>
      <c r="K91" s="685"/>
      <c r="L91" s="514"/>
      <c r="M91" s="514"/>
      <c r="N91" s="228">
        <v>44985</v>
      </c>
      <c r="O91" s="520"/>
      <c r="P91" s="221">
        <v>15431.32</v>
      </c>
      <c r="Q91" s="222">
        <v>44995</v>
      </c>
      <c r="R91" s="223"/>
      <c r="S91" s="221"/>
      <c r="T91" s="221"/>
      <c r="U91" s="493"/>
      <c r="V91" s="676"/>
      <c r="W91" s="490"/>
      <c r="X91" s="2">
        <v>29</v>
      </c>
    </row>
    <row r="92" spans="1:24" s="2" customFormat="1" x14ac:dyDescent="0.3">
      <c r="A92" s="505"/>
      <c r="B92" s="514"/>
      <c r="C92" s="514"/>
      <c r="D92" s="514"/>
      <c r="E92" s="514"/>
      <c r="F92" s="520"/>
      <c r="G92" s="679"/>
      <c r="H92" s="493"/>
      <c r="I92" s="496"/>
      <c r="J92" s="682"/>
      <c r="K92" s="685"/>
      <c r="L92" s="514"/>
      <c r="M92" s="514"/>
      <c r="N92" s="228">
        <v>44985</v>
      </c>
      <c r="O92" s="520"/>
      <c r="P92" s="221">
        <v>12625.62</v>
      </c>
      <c r="Q92" s="222">
        <v>44995</v>
      </c>
      <c r="R92" s="223"/>
      <c r="S92" s="221"/>
      <c r="T92" s="221"/>
      <c r="U92" s="493"/>
      <c r="V92" s="676"/>
      <c r="W92" s="490"/>
      <c r="X92" s="2">
        <v>29</v>
      </c>
    </row>
    <row r="93" spans="1:24" s="2" customFormat="1" x14ac:dyDescent="0.3">
      <c r="A93" s="505"/>
      <c r="B93" s="514"/>
      <c r="C93" s="514"/>
      <c r="D93" s="514"/>
      <c r="E93" s="514"/>
      <c r="F93" s="520"/>
      <c r="G93" s="679"/>
      <c r="H93" s="493"/>
      <c r="I93" s="496"/>
      <c r="J93" s="682"/>
      <c r="K93" s="685"/>
      <c r="L93" s="514"/>
      <c r="M93" s="514"/>
      <c r="N93" s="228">
        <v>45009</v>
      </c>
      <c r="O93" s="520"/>
      <c r="P93" s="221">
        <v>14894.04</v>
      </c>
      <c r="Q93" s="222">
        <v>45023</v>
      </c>
      <c r="R93" s="223"/>
      <c r="S93" s="221"/>
      <c r="T93" s="221"/>
      <c r="U93" s="493"/>
      <c r="V93" s="676"/>
      <c r="W93" s="490"/>
      <c r="X93" s="2">
        <v>29</v>
      </c>
    </row>
    <row r="94" spans="1:24" s="2" customFormat="1" x14ac:dyDescent="0.3">
      <c r="A94" s="505"/>
      <c r="B94" s="514"/>
      <c r="C94" s="514"/>
      <c r="D94" s="514"/>
      <c r="E94" s="514"/>
      <c r="F94" s="520"/>
      <c r="G94" s="679"/>
      <c r="H94" s="493"/>
      <c r="I94" s="496"/>
      <c r="J94" s="682"/>
      <c r="K94" s="685"/>
      <c r="L94" s="514"/>
      <c r="M94" s="514"/>
      <c r="N94" s="228">
        <v>45009</v>
      </c>
      <c r="O94" s="520"/>
      <c r="P94" s="221">
        <v>12186.03</v>
      </c>
      <c r="Q94" s="222">
        <v>45023</v>
      </c>
      <c r="R94" s="223"/>
      <c r="S94" s="221"/>
      <c r="T94" s="221"/>
      <c r="U94" s="493"/>
      <c r="V94" s="676"/>
      <c r="W94" s="490"/>
      <c r="X94" s="2">
        <v>29</v>
      </c>
    </row>
    <row r="95" spans="1:24" s="2" customFormat="1" x14ac:dyDescent="0.3">
      <c r="A95" s="505"/>
      <c r="B95" s="514"/>
      <c r="C95" s="514"/>
      <c r="D95" s="514"/>
      <c r="E95" s="514"/>
      <c r="F95" s="520"/>
      <c r="G95" s="679"/>
      <c r="H95" s="493"/>
      <c r="I95" s="496"/>
      <c r="J95" s="682"/>
      <c r="K95" s="685"/>
      <c r="L95" s="514"/>
      <c r="M95" s="514"/>
      <c r="N95" s="228">
        <v>45064</v>
      </c>
      <c r="O95" s="520"/>
      <c r="P95" s="221">
        <v>1531.53</v>
      </c>
      <c r="Q95" s="222">
        <v>45064</v>
      </c>
      <c r="R95" s="223"/>
      <c r="S95" s="221"/>
      <c r="T95" s="221"/>
      <c r="U95" s="493"/>
      <c r="V95" s="676"/>
      <c r="W95" s="490"/>
      <c r="X95" s="2">
        <v>29</v>
      </c>
    </row>
    <row r="96" spans="1:24" s="2" customFormat="1" x14ac:dyDescent="0.3">
      <c r="A96" s="505"/>
      <c r="B96" s="514"/>
      <c r="C96" s="514"/>
      <c r="D96" s="514"/>
      <c r="E96" s="514"/>
      <c r="F96" s="520"/>
      <c r="G96" s="679"/>
      <c r="H96" s="493"/>
      <c r="I96" s="496"/>
      <c r="J96" s="682"/>
      <c r="K96" s="685"/>
      <c r="L96" s="514"/>
      <c r="M96" s="514"/>
      <c r="N96" s="228">
        <v>45064</v>
      </c>
      <c r="O96" s="520"/>
      <c r="P96" s="221">
        <v>1253.07</v>
      </c>
      <c r="Q96" s="222">
        <v>45064</v>
      </c>
      <c r="R96" s="223"/>
      <c r="S96" s="221"/>
      <c r="T96" s="221"/>
      <c r="U96" s="493"/>
      <c r="V96" s="676"/>
      <c r="W96" s="490"/>
      <c r="X96" s="2">
        <v>29</v>
      </c>
    </row>
    <row r="97" spans="1:24" s="2" customFormat="1" x14ac:dyDescent="0.3">
      <c r="A97" s="505"/>
      <c r="B97" s="514"/>
      <c r="C97" s="514"/>
      <c r="D97" s="514"/>
      <c r="E97" s="514"/>
      <c r="F97" s="520"/>
      <c r="G97" s="679"/>
      <c r="H97" s="493"/>
      <c r="I97" s="496"/>
      <c r="J97" s="682"/>
      <c r="K97" s="685"/>
      <c r="L97" s="514"/>
      <c r="M97" s="514"/>
      <c r="N97" s="228">
        <v>45064</v>
      </c>
      <c r="O97" s="520"/>
      <c r="P97" s="221">
        <v>1601.6</v>
      </c>
      <c r="Q97" s="222">
        <v>45064</v>
      </c>
      <c r="R97" s="223"/>
      <c r="S97" s="221"/>
      <c r="T97" s="221"/>
      <c r="U97" s="493"/>
      <c r="V97" s="676"/>
      <c r="W97" s="490"/>
      <c r="X97" s="2">
        <v>29</v>
      </c>
    </row>
    <row r="98" spans="1:24" s="2" customFormat="1" x14ac:dyDescent="0.3">
      <c r="A98" s="505"/>
      <c r="B98" s="514"/>
      <c r="C98" s="514"/>
      <c r="D98" s="514"/>
      <c r="E98" s="514"/>
      <c r="F98" s="520"/>
      <c r="G98" s="679"/>
      <c r="H98" s="493"/>
      <c r="I98" s="496"/>
      <c r="J98" s="682"/>
      <c r="K98" s="685"/>
      <c r="L98" s="514"/>
      <c r="M98" s="514"/>
      <c r="N98" s="228">
        <v>45064</v>
      </c>
      <c r="O98" s="520"/>
      <c r="P98" s="221">
        <v>1310.4000000000001</v>
      </c>
      <c r="Q98" s="222">
        <v>45064</v>
      </c>
      <c r="R98" s="223"/>
      <c r="S98" s="221"/>
      <c r="T98" s="221"/>
      <c r="U98" s="493"/>
      <c r="V98" s="676"/>
      <c r="W98" s="490"/>
      <c r="X98" s="2">
        <v>29</v>
      </c>
    </row>
    <row r="99" spans="1:24" s="2" customFormat="1" x14ac:dyDescent="0.3">
      <c r="A99" s="505"/>
      <c r="B99" s="514"/>
      <c r="C99" s="514"/>
      <c r="D99" s="514"/>
      <c r="E99" s="514"/>
      <c r="F99" s="520"/>
      <c r="G99" s="679"/>
      <c r="H99" s="493"/>
      <c r="I99" s="496"/>
      <c r="J99" s="682"/>
      <c r="K99" s="685"/>
      <c r="L99" s="514"/>
      <c r="M99" s="514"/>
      <c r="N99" s="228">
        <v>45064</v>
      </c>
      <c r="O99" s="520"/>
      <c r="P99" s="221">
        <v>1531.53</v>
      </c>
      <c r="Q99" s="222">
        <v>45064</v>
      </c>
      <c r="R99" s="223"/>
      <c r="S99" s="221"/>
      <c r="T99" s="221"/>
      <c r="U99" s="493"/>
      <c r="V99" s="676"/>
      <c r="W99" s="490"/>
      <c r="X99" s="2">
        <v>29</v>
      </c>
    </row>
    <row r="100" spans="1:24" s="2" customFormat="1" x14ac:dyDescent="0.3">
      <c r="A100" s="506"/>
      <c r="B100" s="515"/>
      <c r="C100" s="515"/>
      <c r="D100" s="515"/>
      <c r="E100" s="515"/>
      <c r="F100" s="521"/>
      <c r="G100" s="680"/>
      <c r="H100" s="494"/>
      <c r="I100" s="497"/>
      <c r="J100" s="683"/>
      <c r="K100" s="686"/>
      <c r="L100" s="515"/>
      <c r="M100" s="515"/>
      <c r="N100" s="229">
        <v>45064</v>
      </c>
      <c r="O100" s="521"/>
      <c r="P100" s="224">
        <v>1253.07</v>
      </c>
      <c r="Q100" s="225">
        <v>45064</v>
      </c>
      <c r="R100" s="226"/>
      <c r="S100" s="224"/>
      <c r="T100" s="224"/>
      <c r="U100" s="494"/>
      <c r="V100" s="677"/>
      <c r="W100" s="491"/>
      <c r="X100" s="2">
        <v>29</v>
      </c>
    </row>
    <row r="101" spans="1:24" s="108" customFormat="1" ht="108" x14ac:dyDescent="0.3">
      <c r="A101" s="124">
        <v>13</v>
      </c>
      <c r="B101" s="125" t="s">
        <v>56</v>
      </c>
      <c r="C101" s="125" t="s">
        <v>146</v>
      </c>
      <c r="D101" s="125" t="s">
        <v>147</v>
      </c>
      <c r="E101" s="125" t="s">
        <v>123</v>
      </c>
      <c r="F101" s="135">
        <v>44984</v>
      </c>
      <c r="G101" s="126" t="s">
        <v>224</v>
      </c>
      <c r="H101" s="127">
        <v>7270</v>
      </c>
      <c r="I101" s="128">
        <f>IF(X101 = 30, H101 + SUM(S101:S101) - SUM(T101:T101) - SUM(P101:P101) - V101,0)</f>
        <v>0</v>
      </c>
      <c r="J101" s="129">
        <v>235002152355</v>
      </c>
      <c r="K101" s="130" t="s">
        <v>225</v>
      </c>
      <c r="L101" s="125" t="s">
        <v>146</v>
      </c>
      <c r="M101" s="125"/>
      <c r="N101" s="135">
        <v>44986</v>
      </c>
      <c r="O101" s="135" t="s">
        <v>181</v>
      </c>
      <c r="P101" s="127">
        <v>7270</v>
      </c>
      <c r="Q101" s="126">
        <v>44986</v>
      </c>
      <c r="R101" s="125"/>
      <c r="S101" s="127"/>
      <c r="T101" s="127"/>
      <c r="U101" s="127"/>
      <c r="V101" s="131"/>
      <c r="W101" s="133"/>
      <c r="X101" s="108">
        <v>30</v>
      </c>
    </row>
    <row r="102" spans="1:24" s="108" customFormat="1" ht="131.25" customHeight="1" x14ac:dyDescent="0.3">
      <c r="A102" s="548">
        <v>14</v>
      </c>
      <c r="B102" s="475" t="s">
        <v>56</v>
      </c>
      <c r="C102" s="475" t="s">
        <v>146</v>
      </c>
      <c r="D102" s="475" t="s">
        <v>147</v>
      </c>
      <c r="E102" s="475" t="s">
        <v>121</v>
      </c>
      <c r="F102" s="550">
        <v>44986</v>
      </c>
      <c r="G102" s="606" t="s">
        <v>234</v>
      </c>
      <c r="H102" s="552">
        <v>171142.39999999999</v>
      </c>
      <c r="I102" s="560">
        <f>IF(X102 = 31, H102 + SUM(S102:S107) - SUM(T102:T107) - SUM(P102:P107) - V102,0)</f>
        <v>-7.2759576141834259E-12</v>
      </c>
      <c r="J102" s="611">
        <v>2353020735</v>
      </c>
      <c r="K102" s="614" t="s">
        <v>157</v>
      </c>
      <c r="L102" s="475" t="s">
        <v>146</v>
      </c>
      <c r="M102" s="475"/>
      <c r="N102" s="197">
        <v>44988</v>
      </c>
      <c r="O102" s="550" t="s">
        <v>235</v>
      </c>
      <c r="P102" s="188">
        <v>24442.46</v>
      </c>
      <c r="Q102" s="189">
        <v>45002</v>
      </c>
      <c r="R102" s="190"/>
      <c r="S102" s="188"/>
      <c r="T102" s="188"/>
      <c r="U102" s="552" t="s">
        <v>344</v>
      </c>
      <c r="V102" s="634">
        <v>26836.21</v>
      </c>
      <c r="W102" s="556"/>
      <c r="X102" s="108">
        <v>31</v>
      </c>
    </row>
    <row r="103" spans="1:24" s="2" customFormat="1" x14ac:dyDescent="0.3">
      <c r="A103" s="632"/>
      <c r="B103" s="633"/>
      <c r="C103" s="633"/>
      <c r="D103" s="633"/>
      <c r="E103" s="633"/>
      <c r="F103" s="605"/>
      <c r="G103" s="607"/>
      <c r="H103" s="609"/>
      <c r="I103" s="610"/>
      <c r="J103" s="612"/>
      <c r="K103" s="615"/>
      <c r="L103" s="633"/>
      <c r="M103" s="633"/>
      <c r="N103" s="198">
        <v>44988</v>
      </c>
      <c r="O103" s="605"/>
      <c r="P103" s="191">
        <v>1560.19</v>
      </c>
      <c r="Q103" s="192">
        <v>45002</v>
      </c>
      <c r="R103" s="193"/>
      <c r="S103" s="191"/>
      <c r="T103" s="191"/>
      <c r="U103" s="609"/>
      <c r="V103" s="635"/>
      <c r="W103" s="627"/>
      <c r="X103" s="2">
        <v>31</v>
      </c>
    </row>
    <row r="104" spans="1:24" s="2" customFormat="1" x14ac:dyDescent="0.3">
      <c r="A104" s="632"/>
      <c r="B104" s="633"/>
      <c r="C104" s="633"/>
      <c r="D104" s="633"/>
      <c r="E104" s="633"/>
      <c r="F104" s="605"/>
      <c r="G104" s="607"/>
      <c r="H104" s="609"/>
      <c r="I104" s="610"/>
      <c r="J104" s="612"/>
      <c r="K104" s="615"/>
      <c r="L104" s="633"/>
      <c r="M104" s="633"/>
      <c r="N104" s="198">
        <v>45002</v>
      </c>
      <c r="O104" s="605"/>
      <c r="P104" s="191">
        <v>67674.67</v>
      </c>
      <c r="Q104" s="192">
        <v>45007</v>
      </c>
      <c r="R104" s="193"/>
      <c r="S104" s="191"/>
      <c r="T104" s="191"/>
      <c r="U104" s="609"/>
      <c r="V104" s="635"/>
      <c r="W104" s="627"/>
      <c r="X104" s="2">
        <v>31</v>
      </c>
    </row>
    <row r="105" spans="1:24" s="2" customFormat="1" x14ac:dyDescent="0.3">
      <c r="A105" s="632"/>
      <c r="B105" s="633"/>
      <c r="C105" s="633"/>
      <c r="D105" s="633"/>
      <c r="E105" s="633"/>
      <c r="F105" s="605"/>
      <c r="G105" s="607"/>
      <c r="H105" s="609"/>
      <c r="I105" s="610"/>
      <c r="J105" s="612"/>
      <c r="K105" s="615"/>
      <c r="L105" s="633"/>
      <c r="M105" s="633"/>
      <c r="N105" s="198">
        <v>45002</v>
      </c>
      <c r="O105" s="605"/>
      <c r="P105" s="191">
        <v>4319.75</v>
      </c>
      <c r="Q105" s="192">
        <v>45007</v>
      </c>
      <c r="R105" s="193"/>
      <c r="S105" s="191"/>
      <c r="T105" s="191"/>
      <c r="U105" s="609"/>
      <c r="V105" s="635"/>
      <c r="W105" s="627"/>
      <c r="X105" s="2">
        <v>31</v>
      </c>
    </row>
    <row r="106" spans="1:24" s="2" customFormat="1" x14ac:dyDescent="0.3">
      <c r="A106" s="632"/>
      <c r="B106" s="633"/>
      <c r="C106" s="633"/>
      <c r="D106" s="633"/>
      <c r="E106" s="633"/>
      <c r="F106" s="605"/>
      <c r="G106" s="607"/>
      <c r="H106" s="609"/>
      <c r="I106" s="610"/>
      <c r="J106" s="612"/>
      <c r="K106" s="615"/>
      <c r="L106" s="633"/>
      <c r="M106" s="633"/>
      <c r="N106" s="198">
        <v>45009</v>
      </c>
      <c r="O106" s="605"/>
      <c r="P106" s="191">
        <v>43530.52</v>
      </c>
      <c r="Q106" s="192">
        <v>45026</v>
      </c>
      <c r="R106" s="193"/>
      <c r="S106" s="191"/>
      <c r="T106" s="191"/>
      <c r="U106" s="609"/>
      <c r="V106" s="635"/>
      <c r="W106" s="627"/>
      <c r="X106" s="2">
        <v>31</v>
      </c>
    </row>
    <row r="107" spans="1:24" s="2" customFormat="1" x14ac:dyDescent="0.3">
      <c r="A107" s="549"/>
      <c r="B107" s="476"/>
      <c r="C107" s="476"/>
      <c r="D107" s="476"/>
      <c r="E107" s="476"/>
      <c r="F107" s="551"/>
      <c r="G107" s="608"/>
      <c r="H107" s="553"/>
      <c r="I107" s="561"/>
      <c r="J107" s="613"/>
      <c r="K107" s="616"/>
      <c r="L107" s="476"/>
      <c r="M107" s="476"/>
      <c r="N107" s="199">
        <v>45009</v>
      </c>
      <c r="O107" s="551"/>
      <c r="P107" s="194">
        <v>2778.6</v>
      </c>
      <c r="Q107" s="195">
        <v>45026</v>
      </c>
      <c r="R107" s="196"/>
      <c r="S107" s="194"/>
      <c r="T107" s="194"/>
      <c r="U107" s="553"/>
      <c r="V107" s="636"/>
      <c r="W107" s="557"/>
      <c r="X107" s="2">
        <v>31</v>
      </c>
    </row>
    <row r="108" spans="1:24" s="108" customFormat="1" ht="131.25" customHeight="1" x14ac:dyDescent="0.3">
      <c r="A108" s="594">
        <v>15</v>
      </c>
      <c r="B108" s="463" t="s">
        <v>56</v>
      </c>
      <c r="C108" s="463" t="s">
        <v>146</v>
      </c>
      <c r="D108" s="463" t="s">
        <v>147</v>
      </c>
      <c r="E108" s="463" t="s">
        <v>122</v>
      </c>
      <c r="F108" s="469">
        <v>44986</v>
      </c>
      <c r="G108" s="628" t="s">
        <v>236</v>
      </c>
      <c r="H108" s="471">
        <v>55250</v>
      </c>
      <c r="I108" s="473">
        <f>IF(X108 = 32, H108 + SUM(S108:S110) - SUM(T108:T110) - SUM(P108:P110) - V108,0)</f>
        <v>0</v>
      </c>
      <c r="J108" s="638">
        <v>2353020735</v>
      </c>
      <c r="K108" s="641" t="s">
        <v>157</v>
      </c>
      <c r="L108" s="463" t="s">
        <v>146</v>
      </c>
      <c r="M108" s="463"/>
      <c r="N108" s="163">
        <v>44988</v>
      </c>
      <c r="O108" s="469" t="s">
        <v>235</v>
      </c>
      <c r="P108" s="164">
        <v>8625</v>
      </c>
      <c r="Q108" s="165">
        <v>44995</v>
      </c>
      <c r="R108" s="166"/>
      <c r="S108" s="164"/>
      <c r="T108" s="164"/>
      <c r="U108" s="471" t="s">
        <v>344</v>
      </c>
      <c r="V108" s="624">
        <v>6025</v>
      </c>
      <c r="W108" s="465"/>
      <c r="X108" s="108">
        <v>32</v>
      </c>
    </row>
    <row r="109" spans="1:24" s="2" customFormat="1" x14ac:dyDescent="0.3">
      <c r="A109" s="620"/>
      <c r="B109" s="623"/>
      <c r="C109" s="623"/>
      <c r="D109" s="623"/>
      <c r="E109" s="623"/>
      <c r="F109" s="621"/>
      <c r="G109" s="629"/>
      <c r="H109" s="622"/>
      <c r="I109" s="631"/>
      <c r="J109" s="639"/>
      <c r="K109" s="642"/>
      <c r="L109" s="623"/>
      <c r="M109" s="623"/>
      <c r="N109" s="171">
        <v>45002</v>
      </c>
      <c r="O109" s="621"/>
      <c r="P109" s="172">
        <v>25650</v>
      </c>
      <c r="Q109" s="173">
        <v>45007</v>
      </c>
      <c r="R109" s="174"/>
      <c r="S109" s="172"/>
      <c r="T109" s="172"/>
      <c r="U109" s="622"/>
      <c r="V109" s="625"/>
      <c r="W109" s="637"/>
      <c r="X109" s="2">
        <v>32</v>
      </c>
    </row>
    <row r="110" spans="1:24" s="2" customFormat="1" x14ac:dyDescent="0.3">
      <c r="A110" s="595"/>
      <c r="B110" s="464"/>
      <c r="C110" s="464"/>
      <c r="D110" s="464"/>
      <c r="E110" s="464"/>
      <c r="F110" s="470"/>
      <c r="G110" s="630"/>
      <c r="H110" s="472"/>
      <c r="I110" s="474"/>
      <c r="J110" s="640"/>
      <c r="K110" s="643"/>
      <c r="L110" s="464"/>
      <c r="M110" s="464"/>
      <c r="N110" s="167">
        <v>45009</v>
      </c>
      <c r="O110" s="470"/>
      <c r="P110" s="168">
        <v>14950</v>
      </c>
      <c r="Q110" s="169">
        <v>45016</v>
      </c>
      <c r="R110" s="170"/>
      <c r="S110" s="168"/>
      <c r="T110" s="168"/>
      <c r="U110" s="472"/>
      <c r="V110" s="626"/>
      <c r="W110" s="466"/>
      <c r="X110" s="2">
        <v>32</v>
      </c>
    </row>
    <row r="111" spans="1:24" s="108" customFormat="1" ht="131.25" customHeight="1" x14ac:dyDescent="0.3">
      <c r="A111" s="594">
        <v>16</v>
      </c>
      <c r="B111" s="463" t="s">
        <v>56</v>
      </c>
      <c r="C111" s="463" t="s">
        <v>146</v>
      </c>
      <c r="D111" s="463" t="s">
        <v>147</v>
      </c>
      <c r="E111" s="463" t="s">
        <v>119</v>
      </c>
      <c r="F111" s="469">
        <v>44991</v>
      </c>
      <c r="G111" s="628" t="s">
        <v>237</v>
      </c>
      <c r="H111" s="471">
        <v>2600</v>
      </c>
      <c r="I111" s="473">
        <f>IF(X111 = 33, H111 + SUM(S111:S113) - SUM(T111:T113) - SUM(P111:P113) - V111,0)</f>
        <v>0</v>
      </c>
      <c r="J111" s="638">
        <v>2353020735</v>
      </c>
      <c r="K111" s="641" t="s">
        <v>157</v>
      </c>
      <c r="L111" s="463" t="s">
        <v>146</v>
      </c>
      <c r="M111" s="463"/>
      <c r="N111" s="163">
        <v>44985</v>
      </c>
      <c r="O111" s="469" t="s">
        <v>235</v>
      </c>
      <c r="P111" s="164">
        <v>575</v>
      </c>
      <c r="Q111" s="165">
        <v>44995</v>
      </c>
      <c r="R111" s="166"/>
      <c r="S111" s="164"/>
      <c r="T111" s="164"/>
      <c r="U111" s="471" t="s">
        <v>344</v>
      </c>
      <c r="V111" s="624">
        <v>600</v>
      </c>
      <c r="W111" s="465"/>
      <c r="X111" s="108">
        <v>33</v>
      </c>
    </row>
    <row r="112" spans="1:24" s="2" customFormat="1" x14ac:dyDescent="0.3">
      <c r="A112" s="620"/>
      <c r="B112" s="623"/>
      <c r="C112" s="623"/>
      <c r="D112" s="623"/>
      <c r="E112" s="623"/>
      <c r="F112" s="621"/>
      <c r="G112" s="629"/>
      <c r="H112" s="622"/>
      <c r="I112" s="631"/>
      <c r="J112" s="639"/>
      <c r="K112" s="642"/>
      <c r="L112" s="623"/>
      <c r="M112" s="623"/>
      <c r="N112" s="171">
        <v>44985</v>
      </c>
      <c r="O112" s="621"/>
      <c r="P112" s="172">
        <v>825</v>
      </c>
      <c r="Q112" s="173">
        <v>44999</v>
      </c>
      <c r="R112" s="174"/>
      <c r="S112" s="172"/>
      <c r="T112" s="172"/>
      <c r="U112" s="622"/>
      <c r="V112" s="625"/>
      <c r="W112" s="637"/>
      <c r="X112" s="2">
        <v>33</v>
      </c>
    </row>
    <row r="113" spans="1:24" s="2" customFormat="1" x14ac:dyDescent="0.3">
      <c r="A113" s="595"/>
      <c r="B113" s="464"/>
      <c r="C113" s="464"/>
      <c r="D113" s="464"/>
      <c r="E113" s="464"/>
      <c r="F113" s="470"/>
      <c r="G113" s="630"/>
      <c r="H113" s="472"/>
      <c r="I113" s="474"/>
      <c r="J113" s="640"/>
      <c r="K113" s="643"/>
      <c r="L113" s="464"/>
      <c r="M113" s="464"/>
      <c r="N113" s="167">
        <v>45009</v>
      </c>
      <c r="O113" s="470"/>
      <c r="P113" s="168">
        <v>600</v>
      </c>
      <c r="Q113" s="169">
        <v>45016</v>
      </c>
      <c r="R113" s="170"/>
      <c r="S113" s="168"/>
      <c r="T113" s="168"/>
      <c r="U113" s="472"/>
      <c r="V113" s="626"/>
      <c r="W113" s="466"/>
      <c r="X113" s="2">
        <v>33</v>
      </c>
    </row>
    <row r="114" spans="1:24" s="108" customFormat="1" ht="131.25" customHeight="1" x14ac:dyDescent="0.3">
      <c r="A114" s="548">
        <v>17</v>
      </c>
      <c r="B114" s="475" t="s">
        <v>56</v>
      </c>
      <c r="C114" s="475" t="s">
        <v>146</v>
      </c>
      <c r="D114" s="475" t="s">
        <v>147</v>
      </c>
      <c r="E114" s="475" t="s">
        <v>120</v>
      </c>
      <c r="F114" s="550">
        <v>44991</v>
      </c>
      <c r="G114" s="606" t="s">
        <v>237</v>
      </c>
      <c r="H114" s="552">
        <v>7895.68</v>
      </c>
      <c r="I114" s="560">
        <f>IF(X114 = 34, H114 + SUM(S114:S116) - SUM(T114:T116) - SUM(P114:P116) - V114,0)</f>
        <v>0</v>
      </c>
      <c r="J114" s="611">
        <v>2353020735</v>
      </c>
      <c r="K114" s="614" t="s">
        <v>157</v>
      </c>
      <c r="L114" s="475" t="s">
        <v>146</v>
      </c>
      <c r="M114" s="475"/>
      <c r="N114" s="197">
        <v>44985</v>
      </c>
      <c r="O114" s="550" t="s">
        <v>235</v>
      </c>
      <c r="P114" s="188">
        <v>1746.16</v>
      </c>
      <c r="Q114" s="189">
        <v>45002</v>
      </c>
      <c r="R114" s="190"/>
      <c r="S114" s="188"/>
      <c r="T114" s="188"/>
      <c r="U114" s="552" t="s">
        <v>344</v>
      </c>
      <c r="V114" s="634">
        <v>1822.08</v>
      </c>
      <c r="W114" s="556"/>
      <c r="X114" s="108">
        <v>34</v>
      </c>
    </row>
    <row r="115" spans="1:24" s="2" customFormat="1" x14ac:dyDescent="0.3">
      <c r="A115" s="632"/>
      <c r="B115" s="633"/>
      <c r="C115" s="633"/>
      <c r="D115" s="633"/>
      <c r="E115" s="633"/>
      <c r="F115" s="605"/>
      <c r="G115" s="607"/>
      <c r="H115" s="609"/>
      <c r="I115" s="610"/>
      <c r="J115" s="612"/>
      <c r="K115" s="615"/>
      <c r="L115" s="633"/>
      <c r="M115" s="633"/>
      <c r="N115" s="198">
        <v>44985</v>
      </c>
      <c r="O115" s="605"/>
      <c r="P115" s="191">
        <v>2505.36</v>
      </c>
      <c r="Q115" s="192">
        <v>45005</v>
      </c>
      <c r="R115" s="193"/>
      <c r="S115" s="191"/>
      <c r="T115" s="191"/>
      <c r="U115" s="609"/>
      <c r="V115" s="635"/>
      <c r="W115" s="627"/>
      <c r="X115" s="2">
        <v>34</v>
      </c>
    </row>
    <row r="116" spans="1:24" s="2" customFormat="1" x14ac:dyDescent="0.3">
      <c r="A116" s="549"/>
      <c r="B116" s="476"/>
      <c r="C116" s="476"/>
      <c r="D116" s="476"/>
      <c r="E116" s="476"/>
      <c r="F116" s="551"/>
      <c r="G116" s="608"/>
      <c r="H116" s="553"/>
      <c r="I116" s="561"/>
      <c r="J116" s="613"/>
      <c r="K116" s="616"/>
      <c r="L116" s="476"/>
      <c r="M116" s="476"/>
      <c r="N116" s="199">
        <v>45009</v>
      </c>
      <c r="O116" s="551"/>
      <c r="P116" s="194">
        <v>1822.08</v>
      </c>
      <c r="Q116" s="195">
        <v>45023</v>
      </c>
      <c r="R116" s="196"/>
      <c r="S116" s="194"/>
      <c r="T116" s="194"/>
      <c r="U116" s="553"/>
      <c r="V116" s="636"/>
      <c r="W116" s="557"/>
      <c r="X116" s="2">
        <v>34</v>
      </c>
    </row>
    <row r="117" spans="1:24" s="108" customFormat="1" ht="108" x14ac:dyDescent="0.3">
      <c r="A117" s="151">
        <v>18</v>
      </c>
      <c r="B117" s="152" t="s">
        <v>56</v>
      </c>
      <c r="C117" s="152" t="s">
        <v>146</v>
      </c>
      <c r="D117" s="152" t="s">
        <v>147</v>
      </c>
      <c r="E117" s="152" t="s">
        <v>247</v>
      </c>
      <c r="F117" s="162">
        <v>45005</v>
      </c>
      <c r="G117" s="153" t="s">
        <v>248</v>
      </c>
      <c r="H117" s="154">
        <v>13125</v>
      </c>
      <c r="I117" s="155">
        <f>IF(X117 = 35, H117 + SUM(S117:S117) - SUM(T117:T117) - SUM(P117:P117) - V117,0)</f>
        <v>0</v>
      </c>
      <c r="J117" s="158">
        <v>235002152355</v>
      </c>
      <c r="K117" s="159" t="s">
        <v>225</v>
      </c>
      <c r="L117" s="152" t="s">
        <v>146</v>
      </c>
      <c r="M117" s="152"/>
      <c r="N117" s="162">
        <v>45005</v>
      </c>
      <c r="O117" s="162" t="s">
        <v>235</v>
      </c>
      <c r="P117" s="154">
        <v>13125</v>
      </c>
      <c r="Q117" s="153">
        <v>45006</v>
      </c>
      <c r="R117" s="152"/>
      <c r="S117" s="154"/>
      <c r="T117" s="154"/>
      <c r="U117" s="154"/>
      <c r="V117" s="160"/>
      <c r="W117" s="157"/>
      <c r="X117" s="108">
        <v>35</v>
      </c>
    </row>
    <row r="118" spans="1:24" s="108" customFormat="1" ht="108" x14ac:dyDescent="0.3">
      <c r="A118" s="151">
        <v>19</v>
      </c>
      <c r="B118" s="152" t="s">
        <v>56</v>
      </c>
      <c r="C118" s="152" t="s">
        <v>146</v>
      </c>
      <c r="D118" s="152" t="s">
        <v>147</v>
      </c>
      <c r="E118" s="152" t="s">
        <v>126</v>
      </c>
      <c r="F118" s="162">
        <v>45001</v>
      </c>
      <c r="G118" s="153" t="s">
        <v>249</v>
      </c>
      <c r="H118" s="154">
        <v>4760</v>
      </c>
      <c r="I118" s="155">
        <f>IF(X118 = 36, H118 + SUM(S118:S118) - SUM(T118:T118) - SUM(P118:P118) - V118,0)</f>
        <v>0</v>
      </c>
      <c r="J118" s="158">
        <v>235002152355</v>
      </c>
      <c r="K118" s="159" t="s">
        <v>225</v>
      </c>
      <c r="L118" s="152" t="s">
        <v>146</v>
      </c>
      <c r="M118" s="152"/>
      <c r="N118" s="162">
        <v>45001</v>
      </c>
      <c r="O118" s="162" t="s">
        <v>235</v>
      </c>
      <c r="P118" s="154">
        <v>4760</v>
      </c>
      <c r="Q118" s="153">
        <v>45002</v>
      </c>
      <c r="R118" s="152"/>
      <c r="S118" s="154"/>
      <c r="T118" s="154"/>
      <c r="U118" s="154"/>
      <c r="V118" s="160"/>
      <c r="W118" s="157"/>
      <c r="X118" s="108">
        <v>36</v>
      </c>
    </row>
    <row r="119" spans="1:24" s="108" customFormat="1" ht="131.25" customHeight="1" x14ac:dyDescent="0.3">
      <c r="A119" s="548">
        <v>20</v>
      </c>
      <c r="B119" s="475" t="s">
        <v>56</v>
      </c>
      <c r="C119" s="475" t="s">
        <v>146</v>
      </c>
      <c r="D119" s="475" t="s">
        <v>147</v>
      </c>
      <c r="E119" s="475" t="s">
        <v>128</v>
      </c>
      <c r="F119" s="550">
        <v>45016</v>
      </c>
      <c r="G119" s="606" t="s">
        <v>265</v>
      </c>
      <c r="H119" s="552">
        <v>46464</v>
      </c>
      <c r="I119" s="560">
        <f>IF(X119 = 38, H119 + SUM(S119:S120) - SUM(T119:T120) - SUM(P119:P120) - V119,0)</f>
        <v>0</v>
      </c>
      <c r="J119" s="611">
        <v>2353020735</v>
      </c>
      <c r="K119" s="614" t="s">
        <v>157</v>
      </c>
      <c r="L119" s="475" t="s">
        <v>146</v>
      </c>
      <c r="M119" s="475"/>
      <c r="N119" s="197">
        <v>45023</v>
      </c>
      <c r="O119" s="550" t="s">
        <v>235</v>
      </c>
      <c r="P119" s="188">
        <v>43676.11</v>
      </c>
      <c r="Q119" s="189">
        <v>45033</v>
      </c>
      <c r="R119" s="190"/>
      <c r="S119" s="188"/>
      <c r="T119" s="188"/>
      <c r="U119" s="552"/>
      <c r="V119" s="634"/>
      <c r="W119" s="556"/>
      <c r="X119" s="108">
        <v>38</v>
      </c>
    </row>
    <row r="120" spans="1:24" s="2" customFormat="1" x14ac:dyDescent="0.3">
      <c r="A120" s="549"/>
      <c r="B120" s="476"/>
      <c r="C120" s="476"/>
      <c r="D120" s="476"/>
      <c r="E120" s="476"/>
      <c r="F120" s="551"/>
      <c r="G120" s="608"/>
      <c r="H120" s="553"/>
      <c r="I120" s="561"/>
      <c r="J120" s="613"/>
      <c r="K120" s="616"/>
      <c r="L120" s="476"/>
      <c r="M120" s="476"/>
      <c r="N120" s="199">
        <v>45023</v>
      </c>
      <c r="O120" s="551"/>
      <c r="P120" s="194">
        <v>2787.89</v>
      </c>
      <c r="Q120" s="195">
        <v>45033</v>
      </c>
      <c r="R120" s="196"/>
      <c r="S120" s="194"/>
      <c r="T120" s="194"/>
      <c r="U120" s="553"/>
      <c r="V120" s="636"/>
      <c r="W120" s="557"/>
      <c r="X120" s="2">
        <v>38</v>
      </c>
    </row>
    <row r="121" spans="1:24" s="108" customFormat="1" ht="108" x14ac:dyDescent="0.3">
      <c r="A121" s="177">
        <v>21</v>
      </c>
      <c r="B121" s="178" t="s">
        <v>56</v>
      </c>
      <c r="C121" s="178" t="s">
        <v>146</v>
      </c>
      <c r="D121" s="178" t="s">
        <v>147</v>
      </c>
      <c r="E121" s="178" t="s">
        <v>129</v>
      </c>
      <c r="F121" s="184">
        <v>45016</v>
      </c>
      <c r="G121" s="182" t="s">
        <v>265</v>
      </c>
      <c r="H121" s="180">
        <v>15000</v>
      </c>
      <c r="I121" s="181">
        <f>IF(X121 = 39, H121 + SUM(S121:S121) - SUM(T121:T121) - SUM(P121:P121) - V121,0)</f>
        <v>0</v>
      </c>
      <c r="J121" s="185">
        <v>2353020735</v>
      </c>
      <c r="K121" s="186" t="s">
        <v>157</v>
      </c>
      <c r="L121" s="178" t="s">
        <v>146</v>
      </c>
      <c r="M121" s="178"/>
      <c r="N121" s="184">
        <v>45023</v>
      </c>
      <c r="O121" s="184" t="s">
        <v>235</v>
      </c>
      <c r="P121" s="180">
        <v>15000</v>
      </c>
      <c r="Q121" s="182">
        <v>45033</v>
      </c>
      <c r="R121" s="178"/>
      <c r="S121" s="180"/>
      <c r="T121" s="180"/>
      <c r="U121" s="180"/>
      <c r="V121" s="187"/>
      <c r="W121" s="175"/>
      <c r="X121" s="108">
        <v>39</v>
      </c>
    </row>
    <row r="122" spans="1:24" s="108" customFormat="1" ht="108" x14ac:dyDescent="0.3">
      <c r="A122" s="177">
        <v>22</v>
      </c>
      <c r="B122" s="178" t="s">
        <v>56</v>
      </c>
      <c r="C122" s="178" t="s">
        <v>146</v>
      </c>
      <c r="D122" s="178" t="s">
        <v>147</v>
      </c>
      <c r="E122" s="178" t="s">
        <v>274</v>
      </c>
      <c r="F122" s="184">
        <v>45021</v>
      </c>
      <c r="G122" s="182" t="s">
        <v>224</v>
      </c>
      <c r="H122" s="180">
        <v>5700</v>
      </c>
      <c r="I122" s="181">
        <f>IF(X122 = 40, H122 + SUM(S122:S122) - SUM(T122:T122) - SUM(P122:P122) - V122,0)</f>
        <v>0</v>
      </c>
      <c r="J122" s="185">
        <v>235002152355</v>
      </c>
      <c r="K122" s="186" t="s">
        <v>225</v>
      </c>
      <c r="L122" s="178" t="s">
        <v>146</v>
      </c>
      <c r="M122" s="178"/>
      <c r="N122" s="184"/>
      <c r="O122" s="184" t="s">
        <v>181</v>
      </c>
      <c r="P122" s="180">
        <v>5700</v>
      </c>
      <c r="Q122" s="182">
        <v>45023</v>
      </c>
      <c r="R122" s="178"/>
      <c r="S122" s="180"/>
      <c r="T122" s="180"/>
      <c r="U122" s="180"/>
      <c r="V122" s="187"/>
      <c r="W122" s="175"/>
      <c r="X122" s="108">
        <v>40</v>
      </c>
    </row>
    <row r="123" spans="1:24" s="108" customFormat="1" ht="108" x14ac:dyDescent="0.3">
      <c r="A123" s="177">
        <v>23</v>
      </c>
      <c r="B123" s="178" t="s">
        <v>56</v>
      </c>
      <c r="C123" s="178" t="s">
        <v>146</v>
      </c>
      <c r="D123" s="178" t="s">
        <v>147</v>
      </c>
      <c r="E123" s="178" t="s">
        <v>275</v>
      </c>
      <c r="F123" s="184">
        <v>45022</v>
      </c>
      <c r="G123" s="182" t="s">
        <v>276</v>
      </c>
      <c r="H123" s="180">
        <v>169662.35</v>
      </c>
      <c r="I123" s="181">
        <f>IF(X123 = 41, H123 + SUM(S123:S123) - SUM(T123:T123) - SUM(P123:P123) - V123,0)</f>
        <v>0</v>
      </c>
      <c r="J123" s="185">
        <v>7715995942</v>
      </c>
      <c r="K123" s="186" t="s">
        <v>277</v>
      </c>
      <c r="L123" s="178" t="s">
        <v>146</v>
      </c>
      <c r="M123" s="178"/>
      <c r="N123" s="184">
        <v>45068</v>
      </c>
      <c r="O123" s="184" t="s">
        <v>235</v>
      </c>
      <c r="P123" s="180">
        <v>169662.35</v>
      </c>
      <c r="Q123" s="182">
        <v>45090</v>
      </c>
      <c r="R123" s="178"/>
      <c r="S123" s="180"/>
      <c r="T123" s="180"/>
      <c r="U123" s="180"/>
      <c r="V123" s="187"/>
      <c r="W123" s="175"/>
      <c r="X123" s="108">
        <v>41</v>
      </c>
    </row>
    <row r="124" spans="1:24" s="108" customFormat="1" ht="108" x14ac:dyDescent="0.3">
      <c r="A124" s="177">
        <v>24</v>
      </c>
      <c r="B124" s="178" t="s">
        <v>56</v>
      </c>
      <c r="C124" s="178" t="s">
        <v>146</v>
      </c>
      <c r="D124" s="178" t="s">
        <v>147</v>
      </c>
      <c r="E124" s="178" t="s">
        <v>290</v>
      </c>
      <c r="F124" s="184">
        <v>45034</v>
      </c>
      <c r="G124" s="182" t="s">
        <v>291</v>
      </c>
      <c r="H124" s="180">
        <v>2000</v>
      </c>
      <c r="I124" s="181">
        <f>IF(X124 = 42, H124 + SUM(S124:S124) - SUM(T124:T124) - SUM(P124:P124) - V124,0)</f>
        <v>0</v>
      </c>
      <c r="J124" s="185">
        <v>235305769122</v>
      </c>
      <c r="K124" s="186" t="s">
        <v>168</v>
      </c>
      <c r="L124" s="178" t="s">
        <v>146</v>
      </c>
      <c r="M124" s="178"/>
      <c r="N124" s="184"/>
      <c r="O124" s="184" t="s">
        <v>235</v>
      </c>
      <c r="P124" s="180">
        <v>2000</v>
      </c>
      <c r="Q124" s="182">
        <v>45044</v>
      </c>
      <c r="R124" s="178"/>
      <c r="S124" s="180"/>
      <c r="T124" s="180"/>
      <c r="U124" s="180"/>
      <c r="V124" s="187"/>
      <c r="W124" s="175"/>
      <c r="X124" s="108">
        <v>42</v>
      </c>
    </row>
    <row r="125" spans="1:24" s="108" customFormat="1" ht="131.25" customHeight="1" x14ac:dyDescent="0.3">
      <c r="A125" s="588">
        <v>25</v>
      </c>
      <c r="B125" s="578" t="s">
        <v>56</v>
      </c>
      <c r="C125" s="578" t="s">
        <v>179</v>
      </c>
      <c r="D125" s="578" t="s">
        <v>147</v>
      </c>
      <c r="E125" s="578" t="s">
        <v>292</v>
      </c>
      <c r="F125" s="582">
        <v>45016</v>
      </c>
      <c r="G125" s="711" t="s">
        <v>293</v>
      </c>
      <c r="H125" s="584">
        <v>376000</v>
      </c>
      <c r="I125" s="586">
        <f>IF(X125 = 43, H125 + SUM(S125:S127) - SUM(T125:T127) - SUM(P125:P127) - V125,0)</f>
        <v>154160</v>
      </c>
      <c r="J125" s="715">
        <v>2312296269</v>
      </c>
      <c r="K125" s="718" t="s">
        <v>294</v>
      </c>
      <c r="L125" s="578" t="s">
        <v>146</v>
      </c>
      <c r="M125" s="578"/>
      <c r="N125" s="302">
        <v>45046</v>
      </c>
      <c r="O125" s="582" t="s">
        <v>181</v>
      </c>
      <c r="P125" s="293">
        <v>90240</v>
      </c>
      <c r="Q125" s="294">
        <v>45061</v>
      </c>
      <c r="R125" s="295"/>
      <c r="S125" s="293"/>
      <c r="T125" s="293"/>
      <c r="U125" s="584"/>
      <c r="V125" s="707"/>
      <c r="W125" s="576"/>
      <c r="X125" s="108">
        <v>43</v>
      </c>
    </row>
    <row r="126" spans="1:24" s="2" customFormat="1" x14ac:dyDescent="0.3">
      <c r="A126" s="703"/>
      <c r="B126" s="706"/>
      <c r="C126" s="706"/>
      <c r="D126" s="706"/>
      <c r="E126" s="706"/>
      <c r="F126" s="704"/>
      <c r="G126" s="712"/>
      <c r="H126" s="705"/>
      <c r="I126" s="714"/>
      <c r="J126" s="716"/>
      <c r="K126" s="719"/>
      <c r="L126" s="706"/>
      <c r="M126" s="706"/>
      <c r="N126" s="303">
        <v>45077</v>
      </c>
      <c r="O126" s="704"/>
      <c r="P126" s="296">
        <v>81780</v>
      </c>
      <c r="Q126" s="297">
        <v>45086</v>
      </c>
      <c r="R126" s="298"/>
      <c r="S126" s="296"/>
      <c r="T126" s="296"/>
      <c r="U126" s="705"/>
      <c r="V126" s="708"/>
      <c r="W126" s="710"/>
      <c r="X126" s="2">
        <v>43</v>
      </c>
    </row>
    <row r="127" spans="1:24" s="2" customFormat="1" x14ac:dyDescent="0.3">
      <c r="A127" s="589"/>
      <c r="B127" s="579"/>
      <c r="C127" s="579"/>
      <c r="D127" s="579"/>
      <c r="E127" s="579"/>
      <c r="F127" s="583"/>
      <c r="G127" s="713"/>
      <c r="H127" s="585"/>
      <c r="I127" s="587"/>
      <c r="J127" s="717"/>
      <c r="K127" s="720"/>
      <c r="L127" s="579"/>
      <c r="M127" s="579"/>
      <c r="N127" s="304">
        <v>45107</v>
      </c>
      <c r="O127" s="583"/>
      <c r="P127" s="299">
        <v>49820</v>
      </c>
      <c r="Q127" s="300">
        <v>45112</v>
      </c>
      <c r="R127" s="301"/>
      <c r="S127" s="299"/>
      <c r="T127" s="299"/>
      <c r="U127" s="585"/>
      <c r="V127" s="709"/>
      <c r="W127" s="577"/>
      <c r="X127" s="2">
        <v>43</v>
      </c>
    </row>
    <row r="128" spans="1:24" s="108" customFormat="1" ht="108" x14ac:dyDescent="0.3">
      <c r="A128" s="177">
        <v>26</v>
      </c>
      <c r="B128" s="178" t="s">
        <v>56</v>
      </c>
      <c r="C128" s="178" t="s">
        <v>146</v>
      </c>
      <c r="D128" s="178" t="s">
        <v>147</v>
      </c>
      <c r="E128" s="178" t="s">
        <v>298</v>
      </c>
      <c r="F128" s="184">
        <v>45049</v>
      </c>
      <c r="G128" s="182" t="s">
        <v>299</v>
      </c>
      <c r="H128" s="180">
        <v>5970</v>
      </c>
      <c r="I128" s="181">
        <f>IF(X128 = 44, H128 + SUM(S128:S128) - SUM(T128:T128) - SUM(P128:P128) - V128,0)</f>
        <v>0</v>
      </c>
      <c r="J128" s="185">
        <v>235002152355</v>
      </c>
      <c r="K128" s="186" t="s">
        <v>225</v>
      </c>
      <c r="L128" s="178" t="s">
        <v>146</v>
      </c>
      <c r="M128" s="178"/>
      <c r="N128" s="184"/>
      <c r="O128" s="184" t="s">
        <v>235</v>
      </c>
      <c r="P128" s="180">
        <v>5970</v>
      </c>
      <c r="Q128" s="182">
        <v>45061</v>
      </c>
      <c r="R128" s="178"/>
      <c r="S128" s="180"/>
      <c r="T128" s="180"/>
      <c r="U128" s="180"/>
      <c r="V128" s="187"/>
      <c r="W128" s="175"/>
      <c r="X128" s="108">
        <v>44</v>
      </c>
    </row>
    <row r="129" spans="1:24" s="108" customFormat="1" ht="108" x14ac:dyDescent="0.3">
      <c r="A129" s="211">
        <v>27</v>
      </c>
      <c r="B129" s="212" t="s">
        <v>56</v>
      </c>
      <c r="C129" s="212" t="s">
        <v>146</v>
      </c>
      <c r="D129" s="212" t="s">
        <v>147</v>
      </c>
      <c r="E129" s="212" t="s">
        <v>301</v>
      </c>
      <c r="F129" s="234">
        <v>45049</v>
      </c>
      <c r="G129" s="217" t="s">
        <v>299</v>
      </c>
      <c r="H129" s="214">
        <v>7350</v>
      </c>
      <c r="I129" s="215">
        <f>IF(X129 = 45, H129 + SUM(S129:S129) - SUM(T129:T129) - SUM(P129:P129) - V129,0)</f>
        <v>0</v>
      </c>
      <c r="J129" s="230">
        <v>235002152355</v>
      </c>
      <c r="K129" s="231" t="s">
        <v>225</v>
      </c>
      <c r="L129" s="212" t="s">
        <v>146</v>
      </c>
      <c r="M129" s="212" t="s">
        <v>300</v>
      </c>
      <c r="N129" s="234"/>
      <c r="O129" s="234" t="s">
        <v>235</v>
      </c>
      <c r="P129" s="214">
        <v>7350</v>
      </c>
      <c r="Q129" s="217">
        <v>45061</v>
      </c>
      <c r="R129" s="212"/>
      <c r="S129" s="214"/>
      <c r="T129" s="214"/>
      <c r="U129" s="214"/>
      <c r="V129" s="232"/>
      <c r="W129" s="210"/>
      <c r="X129" s="108">
        <v>45</v>
      </c>
    </row>
    <row r="130" spans="1:24" s="108" customFormat="1" ht="131.25" customHeight="1" x14ac:dyDescent="0.3">
      <c r="A130" s="592">
        <v>28</v>
      </c>
      <c r="B130" s="564" t="s">
        <v>56</v>
      </c>
      <c r="C130" s="564" t="s">
        <v>146</v>
      </c>
      <c r="D130" s="564" t="s">
        <v>147</v>
      </c>
      <c r="E130" s="564" t="s">
        <v>130</v>
      </c>
      <c r="F130" s="570">
        <v>45019</v>
      </c>
      <c r="G130" s="687" t="s">
        <v>305</v>
      </c>
      <c r="H130" s="572">
        <v>1650</v>
      </c>
      <c r="I130" s="574">
        <f>IF(X130 = 46, H130 + SUM(S130:S131) - SUM(T130:T131) - SUM(P130:P131) - V130,0)</f>
        <v>0</v>
      </c>
      <c r="J130" s="689">
        <v>2353020735</v>
      </c>
      <c r="K130" s="691" t="s">
        <v>157</v>
      </c>
      <c r="L130" s="564" t="s">
        <v>146</v>
      </c>
      <c r="M130" s="564"/>
      <c r="N130" s="263"/>
      <c r="O130" s="570" t="s">
        <v>235</v>
      </c>
      <c r="P130" s="257">
        <v>725</v>
      </c>
      <c r="Q130" s="258">
        <v>45063</v>
      </c>
      <c r="R130" s="259"/>
      <c r="S130" s="257"/>
      <c r="T130" s="257"/>
      <c r="U130" s="572" t="s">
        <v>344</v>
      </c>
      <c r="V130" s="700">
        <v>450</v>
      </c>
      <c r="W130" s="566"/>
      <c r="X130" s="108">
        <v>46</v>
      </c>
    </row>
    <row r="131" spans="1:24" s="2" customFormat="1" x14ac:dyDescent="0.3">
      <c r="A131" s="593"/>
      <c r="B131" s="565"/>
      <c r="C131" s="565"/>
      <c r="D131" s="565"/>
      <c r="E131" s="565"/>
      <c r="F131" s="571"/>
      <c r="G131" s="688"/>
      <c r="H131" s="573"/>
      <c r="I131" s="575"/>
      <c r="J131" s="690"/>
      <c r="K131" s="692"/>
      <c r="L131" s="565"/>
      <c r="M131" s="565"/>
      <c r="N131" s="264">
        <v>45065</v>
      </c>
      <c r="O131" s="571"/>
      <c r="P131" s="260">
        <v>475</v>
      </c>
      <c r="Q131" s="261" t="s">
        <v>342</v>
      </c>
      <c r="R131" s="262"/>
      <c r="S131" s="260"/>
      <c r="T131" s="260"/>
      <c r="U131" s="573"/>
      <c r="V131" s="702"/>
      <c r="W131" s="567"/>
      <c r="X131" s="2">
        <v>46</v>
      </c>
    </row>
    <row r="132" spans="1:24" s="108" customFormat="1" ht="131.25" customHeight="1" x14ac:dyDescent="0.3">
      <c r="A132" s="592">
        <v>29</v>
      </c>
      <c r="B132" s="564" t="s">
        <v>56</v>
      </c>
      <c r="C132" s="564" t="s">
        <v>146</v>
      </c>
      <c r="D132" s="564" t="s">
        <v>147</v>
      </c>
      <c r="E132" s="564" t="s">
        <v>131</v>
      </c>
      <c r="F132" s="570">
        <v>45019</v>
      </c>
      <c r="G132" s="687" t="s">
        <v>306</v>
      </c>
      <c r="H132" s="572">
        <v>5111.04</v>
      </c>
      <c r="I132" s="574">
        <f>IF(X132 = 47, H132 + SUM(S132:S133) - SUM(T132:T133) - SUM(P132:P133) - V132,0)</f>
        <v>0</v>
      </c>
      <c r="J132" s="689">
        <v>2353020735</v>
      </c>
      <c r="K132" s="691" t="s">
        <v>157</v>
      </c>
      <c r="L132" s="564" t="s">
        <v>146</v>
      </c>
      <c r="M132" s="564"/>
      <c r="N132" s="263"/>
      <c r="O132" s="570" t="s">
        <v>181</v>
      </c>
      <c r="P132" s="257">
        <v>2201.6799999999998</v>
      </c>
      <c r="Q132" s="258">
        <v>45063</v>
      </c>
      <c r="R132" s="259"/>
      <c r="S132" s="257"/>
      <c r="T132" s="257"/>
      <c r="U132" s="572" t="s">
        <v>344</v>
      </c>
      <c r="V132" s="700">
        <v>1479.04</v>
      </c>
      <c r="W132" s="566"/>
      <c r="X132" s="108">
        <v>47</v>
      </c>
    </row>
    <row r="133" spans="1:24" s="2" customFormat="1" x14ac:dyDescent="0.3">
      <c r="A133" s="593"/>
      <c r="B133" s="565"/>
      <c r="C133" s="565"/>
      <c r="D133" s="565"/>
      <c r="E133" s="565"/>
      <c r="F133" s="571"/>
      <c r="G133" s="688"/>
      <c r="H133" s="573"/>
      <c r="I133" s="575"/>
      <c r="J133" s="690"/>
      <c r="K133" s="692"/>
      <c r="L133" s="565"/>
      <c r="M133" s="565"/>
      <c r="N133" s="264">
        <v>45065</v>
      </c>
      <c r="O133" s="571"/>
      <c r="P133" s="260">
        <v>1430.32</v>
      </c>
      <c r="Q133" s="261">
        <v>45079</v>
      </c>
      <c r="R133" s="262"/>
      <c r="S133" s="260"/>
      <c r="T133" s="260"/>
      <c r="U133" s="573"/>
      <c r="V133" s="702"/>
      <c r="W133" s="567"/>
      <c r="X133" s="2">
        <v>47</v>
      </c>
    </row>
    <row r="134" spans="1:24" s="108" customFormat="1" ht="108" x14ac:dyDescent="0.3">
      <c r="A134" s="236">
        <v>30</v>
      </c>
      <c r="B134" s="237" t="s">
        <v>56</v>
      </c>
      <c r="C134" s="237" t="s">
        <v>146</v>
      </c>
      <c r="D134" s="237" t="s">
        <v>147</v>
      </c>
      <c r="E134" s="237" t="s">
        <v>315</v>
      </c>
      <c r="F134" s="244">
        <v>45072</v>
      </c>
      <c r="G134" s="238" t="s">
        <v>316</v>
      </c>
      <c r="H134" s="239">
        <v>7000</v>
      </c>
      <c r="I134" s="240">
        <f>IF(X134 = 48, H134 + SUM(S134:S134) - SUM(T134:T134) - SUM(P134:P134) - V134,0)</f>
        <v>0</v>
      </c>
      <c r="J134" s="241">
        <v>2353018870</v>
      </c>
      <c r="K134" s="242" t="s">
        <v>161</v>
      </c>
      <c r="L134" s="237" t="s">
        <v>146</v>
      </c>
      <c r="M134" s="237"/>
      <c r="N134" s="244"/>
      <c r="O134" s="244" t="s">
        <v>235</v>
      </c>
      <c r="P134" s="239">
        <v>7000</v>
      </c>
      <c r="Q134" s="238">
        <v>45099</v>
      </c>
      <c r="R134" s="237"/>
      <c r="S134" s="239"/>
      <c r="T134" s="239"/>
      <c r="U134" s="239"/>
      <c r="V134" s="243"/>
      <c r="W134" s="233"/>
      <c r="X134" s="108">
        <v>48</v>
      </c>
    </row>
    <row r="135" spans="1:24" s="108" customFormat="1" ht="108" x14ac:dyDescent="0.3">
      <c r="A135" s="236">
        <v>31</v>
      </c>
      <c r="B135" s="237" t="s">
        <v>56</v>
      </c>
      <c r="C135" s="237" t="s">
        <v>146</v>
      </c>
      <c r="D135" s="237" t="s">
        <v>147</v>
      </c>
      <c r="E135" s="237" t="s">
        <v>317</v>
      </c>
      <c r="F135" s="244">
        <v>45082</v>
      </c>
      <c r="G135" s="238" t="s">
        <v>318</v>
      </c>
      <c r="H135" s="239">
        <v>7172</v>
      </c>
      <c r="I135" s="240">
        <f>IF(X135 = 49, H135 + SUM(S135:S135) - SUM(T135:T135) - SUM(P135:P135) - V135,0)</f>
        <v>0</v>
      </c>
      <c r="J135" s="241">
        <v>235002152355</v>
      </c>
      <c r="K135" s="242" t="s">
        <v>319</v>
      </c>
      <c r="L135" s="237" t="s">
        <v>146</v>
      </c>
      <c r="M135" s="237"/>
      <c r="N135" s="244">
        <v>45082</v>
      </c>
      <c r="O135" s="244" t="s">
        <v>235</v>
      </c>
      <c r="P135" s="239">
        <v>7172</v>
      </c>
      <c r="Q135" s="238">
        <v>45082</v>
      </c>
      <c r="R135" s="237"/>
      <c r="S135" s="239"/>
      <c r="T135" s="239"/>
      <c r="U135" s="239"/>
      <c r="V135" s="243"/>
      <c r="W135" s="233"/>
      <c r="X135" s="108">
        <v>49</v>
      </c>
    </row>
    <row r="136" spans="1:24" s="108" customFormat="1" ht="131.25" customHeight="1" x14ac:dyDescent="0.3">
      <c r="A136" s="592">
        <v>32</v>
      </c>
      <c r="B136" s="564" t="s">
        <v>56</v>
      </c>
      <c r="C136" s="564" t="s">
        <v>146</v>
      </c>
      <c r="D136" s="564" t="s">
        <v>147</v>
      </c>
      <c r="E136" s="564" t="s">
        <v>329</v>
      </c>
      <c r="F136" s="570">
        <v>45082</v>
      </c>
      <c r="G136" s="687" t="s">
        <v>330</v>
      </c>
      <c r="H136" s="572">
        <v>78450</v>
      </c>
      <c r="I136" s="574">
        <f>IF(X136 = 50, H136 + SUM(S136:S137) - SUM(T136:T137) - SUM(P136:P137) - V136,0)</f>
        <v>0</v>
      </c>
      <c r="J136" s="689">
        <v>235002152355</v>
      </c>
      <c r="K136" s="691" t="s">
        <v>319</v>
      </c>
      <c r="L136" s="564" t="s">
        <v>146</v>
      </c>
      <c r="M136" s="564"/>
      <c r="N136" s="263">
        <v>45082</v>
      </c>
      <c r="O136" s="570" t="s">
        <v>235</v>
      </c>
      <c r="P136" s="257">
        <v>77540</v>
      </c>
      <c r="Q136" s="258">
        <v>45082</v>
      </c>
      <c r="R136" s="259"/>
      <c r="S136" s="257"/>
      <c r="T136" s="257"/>
      <c r="U136" s="572"/>
      <c r="V136" s="700"/>
      <c r="W136" s="566"/>
      <c r="X136" s="108">
        <v>50</v>
      </c>
    </row>
    <row r="137" spans="1:24" s="2" customFormat="1" x14ac:dyDescent="0.3">
      <c r="A137" s="593"/>
      <c r="B137" s="565"/>
      <c r="C137" s="565"/>
      <c r="D137" s="565"/>
      <c r="E137" s="565"/>
      <c r="F137" s="571"/>
      <c r="G137" s="688"/>
      <c r="H137" s="573"/>
      <c r="I137" s="575"/>
      <c r="J137" s="690"/>
      <c r="K137" s="692"/>
      <c r="L137" s="565"/>
      <c r="M137" s="565"/>
      <c r="N137" s="264">
        <v>45082</v>
      </c>
      <c r="O137" s="571"/>
      <c r="P137" s="260">
        <v>910</v>
      </c>
      <c r="Q137" s="261">
        <v>45082</v>
      </c>
      <c r="R137" s="262"/>
      <c r="S137" s="260"/>
      <c r="T137" s="260"/>
      <c r="U137" s="573"/>
      <c r="V137" s="702"/>
      <c r="W137" s="567"/>
      <c r="X137" s="2">
        <v>50</v>
      </c>
    </row>
    <row r="138" spans="1:24" s="108" customFormat="1" ht="108" x14ac:dyDescent="0.3">
      <c r="A138" s="236">
        <v>33</v>
      </c>
      <c r="B138" s="237" t="s">
        <v>56</v>
      </c>
      <c r="C138" s="237" t="s">
        <v>146</v>
      </c>
      <c r="D138" s="237" t="s">
        <v>147</v>
      </c>
      <c r="E138" s="237" t="s">
        <v>336</v>
      </c>
      <c r="F138" s="247">
        <v>45093</v>
      </c>
      <c r="G138" s="238" t="s">
        <v>337</v>
      </c>
      <c r="H138" s="239">
        <v>7700</v>
      </c>
      <c r="I138" s="240">
        <f>IF(X138 = 51, H138 + SUM(S138:S138) - SUM(T138:T138) - SUM(P138:P138) - V138,0)</f>
        <v>0</v>
      </c>
      <c r="J138" s="241">
        <v>235002152355</v>
      </c>
      <c r="K138" s="242" t="s">
        <v>319</v>
      </c>
      <c r="L138" s="237" t="s">
        <v>146</v>
      </c>
      <c r="M138" s="237"/>
      <c r="N138" s="247">
        <v>45093</v>
      </c>
      <c r="O138" s="247" t="s">
        <v>235</v>
      </c>
      <c r="P138" s="239">
        <v>7700</v>
      </c>
      <c r="Q138" s="238">
        <v>45096</v>
      </c>
      <c r="R138" s="237"/>
      <c r="S138" s="239"/>
      <c r="T138" s="239"/>
      <c r="U138" s="239"/>
      <c r="V138" s="243"/>
      <c r="W138" s="235"/>
      <c r="X138" s="108">
        <v>51</v>
      </c>
    </row>
    <row r="139" spans="1:24" s="108" customFormat="1" ht="108" x14ac:dyDescent="0.3">
      <c r="A139" s="279">
        <v>34</v>
      </c>
      <c r="B139" s="281" t="s">
        <v>56</v>
      </c>
      <c r="C139" s="281" t="s">
        <v>146</v>
      </c>
      <c r="D139" s="281" t="s">
        <v>147</v>
      </c>
      <c r="E139" s="281" t="s">
        <v>348</v>
      </c>
      <c r="F139" s="290">
        <v>45124</v>
      </c>
      <c r="G139" s="286" t="s">
        <v>349</v>
      </c>
      <c r="H139" s="280">
        <v>22000</v>
      </c>
      <c r="I139" s="285">
        <f>IF(X139 = 52, H139 + SUM(S139:S139) - SUM(T139:T139) - SUM(P139:P139) - V139,0)</f>
        <v>0</v>
      </c>
      <c r="J139" s="288">
        <v>235002152355</v>
      </c>
      <c r="K139" s="289" t="s">
        <v>225</v>
      </c>
      <c r="L139" s="281" t="s">
        <v>146</v>
      </c>
      <c r="M139" s="281"/>
      <c r="N139" s="290"/>
      <c r="O139" s="290" t="s">
        <v>235</v>
      </c>
      <c r="P139" s="280">
        <v>22000</v>
      </c>
      <c r="Q139" s="286">
        <v>45125</v>
      </c>
      <c r="R139" s="281"/>
      <c r="S139" s="280"/>
      <c r="T139" s="280"/>
      <c r="U139" s="280"/>
      <c r="V139" s="287"/>
      <c r="W139" s="283"/>
      <c r="X139" s="108">
        <v>52</v>
      </c>
    </row>
    <row r="140" spans="1:24" s="108" customFormat="1" ht="131.25" customHeight="1" x14ac:dyDescent="0.3">
      <c r="A140" s="449">
        <v>35</v>
      </c>
      <c r="B140" s="431" t="s">
        <v>56</v>
      </c>
      <c r="C140" s="431" t="s">
        <v>146</v>
      </c>
      <c r="D140" s="431" t="s">
        <v>147</v>
      </c>
      <c r="E140" s="431" t="s">
        <v>114</v>
      </c>
      <c r="F140" s="437">
        <v>45169</v>
      </c>
      <c r="G140" s="458" t="s">
        <v>265</v>
      </c>
      <c r="H140" s="440">
        <v>119880</v>
      </c>
      <c r="I140" s="443">
        <f>IF(X140 = 53, H140 + SUM(S140:S141) - SUM(T140:T141) - SUM(P140:P141) - V140,0)</f>
        <v>98472</v>
      </c>
      <c r="J140" s="598">
        <v>2353020735</v>
      </c>
      <c r="K140" s="600" t="s">
        <v>157</v>
      </c>
      <c r="L140" s="431" t="s">
        <v>146</v>
      </c>
      <c r="M140" s="431"/>
      <c r="N140" s="369">
        <v>45198</v>
      </c>
      <c r="O140" s="437" t="s">
        <v>235</v>
      </c>
      <c r="P140" s="360">
        <v>13518</v>
      </c>
      <c r="Q140" s="361">
        <v>45209</v>
      </c>
      <c r="R140" s="362"/>
      <c r="S140" s="360"/>
      <c r="T140" s="360"/>
      <c r="U140" s="440"/>
      <c r="V140" s="596"/>
      <c r="W140" s="455"/>
      <c r="X140" s="108">
        <v>53</v>
      </c>
    </row>
    <row r="141" spans="1:24" s="2" customFormat="1" x14ac:dyDescent="0.3">
      <c r="A141" s="451"/>
      <c r="B141" s="433"/>
      <c r="C141" s="433"/>
      <c r="D141" s="433"/>
      <c r="E141" s="433"/>
      <c r="F141" s="439"/>
      <c r="G141" s="460"/>
      <c r="H141" s="442"/>
      <c r="I141" s="445"/>
      <c r="J141" s="599"/>
      <c r="K141" s="601"/>
      <c r="L141" s="433"/>
      <c r="M141" s="433"/>
      <c r="N141" s="371">
        <v>45198</v>
      </c>
      <c r="O141" s="439"/>
      <c r="P141" s="366">
        <v>7890</v>
      </c>
      <c r="Q141" s="367">
        <v>45209</v>
      </c>
      <c r="R141" s="368"/>
      <c r="S141" s="366"/>
      <c r="T141" s="366"/>
      <c r="U141" s="442"/>
      <c r="V141" s="597"/>
      <c r="W141" s="457"/>
      <c r="X141" s="2">
        <v>53</v>
      </c>
    </row>
    <row r="142" spans="1:24" s="108" customFormat="1" ht="131.25" customHeight="1" x14ac:dyDescent="0.3">
      <c r="A142" s="449">
        <v>36</v>
      </c>
      <c r="B142" s="431" t="s">
        <v>56</v>
      </c>
      <c r="C142" s="431" t="s">
        <v>146</v>
      </c>
      <c r="D142" s="431" t="s">
        <v>147</v>
      </c>
      <c r="E142" s="431" t="s">
        <v>386</v>
      </c>
      <c r="F142" s="437">
        <v>45169</v>
      </c>
      <c r="G142" s="458" t="s">
        <v>387</v>
      </c>
      <c r="H142" s="440">
        <v>9401.36</v>
      </c>
      <c r="I142" s="443">
        <f>IF(X142 = 54, H142 + SUM(S142:S146) - SUM(T142:T146) - SUM(P142:P146) - V142,0)</f>
        <v>6141.4500000000007</v>
      </c>
      <c r="J142" s="598">
        <v>2353020735</v>
      </c>
      <c r="K142" s="600" t="s">
        <v>157</v>
      </c>
      <c r="L142" s="431" t="s">
        <v>146</v>
      </c>
      <c r="M142" s="431"/>
      <c r="N142" s="369">
        <v>45198</v>
      </c>
      <c r="O142" s="437" t="s">
        <v>235</v>
      </c>
      <c r="P142" s="360">
        <v>546.21</v>
      </c>
      <c r="Q142" s="361">
        <v>45216</v>
      </c>
      <c r="R142" s="362"/>
      <c r="S142" s="360"/>
      <c r="T142" s="360"/>
      <c r="U142" s="440"/>
      <c r="V142" s="596"/>
      <c r="W142" s="455"/>
      <c r="X142" s="108">
        <v>54</v>
      </c>
    </row>
    <row r="143" spans="1:24" s="2" customFormat="1" x14ac:dyDescent="0.3">
      <c r="A143" s="450"/>
      <c r="B143" s="432"/>
      <c r="C143" s="432"/>
      <c r="D143" s="432"/>
      <c r="E143" s="432"/>
      <c r="F143" s="438"/>
      <c r="G143" s="459"/>
      <c r="H143" s="441"/>
      <c r="I143" s="444"/>
      <c r="J143" s="602"/>
      <c r="K143" s="603"/>
      <c r="L143" s="432"/>
      <c r="M143" s="432"/>
      <c r="N143" s="370">
        <v>45198</v>
      </c>
      <c r="O143" s="438"/>
      <c r="P143" s="363">
        <v>520.20000000000005</v>
      </c>
      <c r="Q143" s="364">
        <v>45216</v>
      </c>
      <c r="R143" s="365"/>
      <c r="S143" s="363"/>
      <c r="T143" s="363"/>
      <c r="U143" s="441"/>
      <c r="V143" s="604"/>
      <c r="W143" s="456"/>
      <c r="X143" s="2">
        <v>54</v>
      </c>
    </row>
    <row r="144" spans="1:24" s="2" customFormat="1" x14ac:dyDescent="0.3">
      <c r="A144" s="450"/>
      <c r="B144" s="432"/>
      <c r="C144" s="432"/>
      <c r="D144" s="432"/>
      <c r="E144" s="432"/>
      <c r="F144" s="438"/>
      <c r="G144" s="459"/>
      <c r="H144" s="441"/>
      <c r="I144" s="444"/>
      <c r="J144" s="602"/>
      <c r="K144" s="603"/>
      <c r="L144" s="432"/>
      <c r="M144" s="432"/>
      <c r="N144" s="370">
        <v>45198</v>
      </c>
      <c r="O144" s="438"/>
      <c r="P144" s="363">
        <v>1070</v>
      </c>
      <c r="Q144" s="364">
        <v>45216</v>
      </c>
      <c r="R144" s="365"/>
      <c r="S144" s="363"/>
      <c r="T144" s="363"/>
      <c r="U144" s="441"/>
      <c r="V144" s="604"/>
      <c r="W144" s="456"/>
      <c r="X144" s="2">
        <v>54</v>
      </c>
    </row>
    <row r="145" spans="1:24" s="2" customFormat="1" x14ac:dyDescent="0.3">
      <c r="A145" s="450"/>
      <c r="B145" s="432"/>
      <c r="C145" s="432"/>
      <c r="D145" s="432"/>
      <c r="E145" s="432"/>
      <c r="F145" s="438"/>
      <c r="G145" s="459"/>
      <c r="H145" s="441"/>
      <c r="I145" s="444"/>
      <c r="J145" s="602"/>
      <c r="K145" s="603"/>
      <c r="L145" s="432"/>
      <c r="M145" s="432"/>
      <c r="N145" s="370">
        <v>45198</v>
      </c>
      <c r="O145" s="438"/>
      <c r="P145" s="363">
        <v>617.91999999999996</v>
      </c>
      <c r="Q145" s="364">
        <v>45222</v>
      </c>
      <c r="R145" s="365"/>
      <c r="S145" s="363"/>
      <c r="T145" s="363"/>
      <c r="U145" s="441"/>
      <c r="V145" s="604"/>
      <c r="W145" s="456"/>
      <c r="X145" s="2">
        <v>54</v>
      </c>
    </row>
    <row r="146" spans="1:24" s="2" customFormat="1" x14ac:dyDescent="0.3">
      <c r="A146" s="451"/>
      <c r="B146" s="433"/>
      <c r="C146" s="433"/>
      <c r="D146" s="433"/>
      <c r="E146" s="433"/>
      <c r="F146" s="439"/>
      <c r="G146" s="460"/>
      <c r="H146" s="442"/>
      <c r="I146" s="445"/>
      <c r="J146" s="599"/>
      <c r="K146" s="601"/>
      <c r="L146" s="433"/>
      <c r="M146" s="433"/>
      <c r="N146" s="371">
        <v>45198</v>
      </c>
      <c r="O146" s="439"/>
      <c r="P146" s="366">
        <v>505.58</v>
      </c>
      <c r="Q146" s="367">
        <v>45222</v>
      </c>
      <c r="R146" s="368"/>
      <c r="S146" s="366"/>
      <c r="T146" s="366"/>
      <c r="U146" s="442"/>
      <c r="V146" s="597"/>
      <c r="W146" s="457"/>
      <c r="X146" s="2">
        <v>54</v>
      </c>
    </row>
    <row r="147" spans="1:24" s="108" customFormat="1" ht="108" x14ac:dyDescent="0.3">
      <c r="A147" s="350">
        <v>37</v>
      </c>
      <c r="B147" s="347" t="s">
        <v>56</v>
      </c>
      <c r="C147" s="347" t="s">
        <v>146</v>
      </c>
      <c r="D147" s="347" t="s">
        <v>147</v>
      </c>
      <c r="E147" s="347" t="s">
        <v>390</v>
      </c>
      <c r="F147" s="357">
        <v>45196</v>
      </c>
      <c r="G147" s="351" t="s">
        <v>391</v>
      </c>
      <c r="H147" s="352">
        <v>4000</v>
      </c>
      <c r="I147" s="353">
        <f>IF(X147 = 55, H147 + SUM(S147:S147) - SUM(T147:T147) - SUM(P147:P147) - V147,0)</f>
        <v>0</v>
      </c>
      <c r="J147" s="354">
        <v>235305769122</v>
      </c>
      <c r="K147" s="355" t="s">
        <v>168</v>
      </c>
      <c r="L147" s="347" t="s">
        <v>146</v>
      </c>
      <c r="M147" s="347"/>
      <c r="N147" s="357">
        <v>45196</v>
      </c>
      <c r="O147" s="357" t="s">
        <v>235</v>
      </c>
      <c r="P147" s="352">
        <v>4000</v>
      </c>
      <c r="Q147" s="351">
        <v>45203</v>
      </c>
      <c r="R147" s="347"/>
      <c r="S147" s="352"/>
      <c r="T147" s="352"/>
      <c r="U147" s="352"/>
      <c r="V147" s="356"/>
      <c r="W147" s="348"/>
      <c r="X147" s="108">
        <v>55</v>
      </c>
    </row>
    <row r="148" spans="1:24" s="108" customFormat="1" ht="108" x14ac:dyDescent="0.3">
      <c r="A148" s="350">
        <v>38</v>
      </c>
      <c r="B148" s="347" t="s">
        <v>56</v>
      </c>
      <c r="C148" s="347" t="s">
        <v>146</v>
      </c>
      <c r="D148" s="347" t="s">
        <v>147</v>
      </c>
      <c r="E148" s="347" t="s">
        <v>135</v>
      </c>
      <c r="F148" s="357">
        <v>45215</v>
      </c>
      <c r="G148" s="351" t="s">
        <v>400</v>
      </c>
      <c r="H148" s="352">
        <v>170855.04000000001</v>
      </c>
      <c r="I148" s="353">
        <f>IF(X148 = 56, H148 + SUM(S148:S148) - SUM(T148:T148) - SUM(P148:P148) - V148,0)</f>
        <v>170855.04000000001</v>
      </c>
      <c r="J148" s="354">
        <v>2304067057</v>
      </c>
      <c r="K148" s="355" t="s">
        <v>177</v>
      </c>
      <c r="L148" s="347" t="s">
        <v>146</v>
      </c>
      <c r="M148" s="347"/>
      <c r="N148" s="357"/>
      <c r="O148" s="357" t="s">
        <v>181</v>
      </c>
      <c r="P148" s="352"/>
      <c r="Q148" s="351"/>
      <c r="R148" s="347"/>
      <c r="S148" s="352"/>
      <c r="T148" s="352"/>
      <c r="U148" s="352"/>
      <c r="V148" s="356"/>
      <c r="W148" s="348"/>
      <c r="X148" s="108">
        <v>56</v>
      </c>
    </row>
    <row r="149" spans="1:24" s="108" customFormat="1" ht="108" x14ac:dyDescent="0.3">
      <c r="A149" s="350">
        <v>39</v>
      </c>
      <c r="B149" s="347" t="s">
        <v>56</v>
      </c>
      <c r="C149" s="347" t="s">
        <v>146</v>
      </c>
      <c r="D149" s="347" t="s">
        <v>147</v>
      </c>
      <c r="E149" s="347" t="s">
        <v>402</v>
      </c>
      <c r="F149" s="357">
        <v>45222</v>
      </c>
      <c r="G149" s="351" t="s">
        <v>318</v>
      </c>
      <c r="H149" s="352">
        <v>460</v>
      </c>
      <c r="I149" s="353">
        <f>IF(X149 = 57, H149 + SUM(S149:S149) - SUM(T149:T149) - SUM(P149:P149) - V149,0)</f>
        <v>0</v>
      </c>
      <c r="J149" s="354">
        <v>235002152355</v>
      </c>
      <c r="K149" s="355" t="s">
        <v>225</v>
      </c>
      <c r="L149" s="347" t="s">
        <v>146</v>
      </c>
      <c r="M149" s="347"/>
      <c r="N149" s="357">
        <v>45222</v>
      </c>
      <c r="O149" s="357" t="s">
        <v>235</v>
      </c>
      <c r="P149" s="352">
        <v>460</v>
      </c>
      <c r="Q149" s="351">
        <v>45224</v>
      </c>
      <c r="R149" s="347"/>
      <c r="S149" s="352"/>
      <c r="T149" s="352"/>
      <c r="U149" s="352"/>
      <c r="V149" s="356"/>
      <c r="W149" s="348"/>
      <c r="X149" s="108">
        <v>57</v>
      </c>
    </row>
    <row r="150" spans="1:24" s="108" customFormat="1" ht="131.25" customHeight="1" x14ac:dyDescent="0.3">
      <c r="A150" s="449">
        <v>40</v>
      </c>
      <c r="B150" s="431" t="s">
        <v>56</v>
      </c>
      <c r="C150" s="431" t="s">
        <v>146</v>
      </c>
      <c r="D150" s="431" t="s">
        <v>147</v>
      </c>
      <c r="E150" s="431" t="s">
        <v>404</v>
      </c>
      <c r="F150" s="437">
        <v>45222</v>
      </c>
      <c r="G150" s="458" t="s">
        <v>383</v>
      </c>
      <c r="H150" s="440">
        <v>29500</v>
      </c>
      <c r="I150" s="443">
        <f>IF(X150 = 58, H150 + SUM(S150:S151) - SUM(T150:T151) - SUM(P150:P151) - V150,0)</f>
        <v>0</v>
      </c>
      <c r="J150" s="598">
        <v>235300809163</v>
      </c>
      <c r="K150" s="600" t="s">
        <v>403</v>
      </c>
      <c r="L150" s="431" t="s">
        <v>146</v>
      </c>
      <c r="M150" s="431"/>
      <c r="N150" s="369">
        <v>45222</v>
      </c>
      <c r="O150" s="437" t="s">
        <v>235</v>
      </c>
      <c r="P150" s="360">
        <v>25500</v>
      </c>
      <c r="Q150" s="361">
        <v>45224</v>
      </c>
      <c r="R150" s="362"/>
      <c r="S150" s="360"/>
      <c r="T150" s="360"/>
      <c r="U150" s="440"/>
      <c r="V150" s="596"/>
      <c r="W150" s="455"/>
      <c r="X150" s="108">
        <v>58</v>
      </c>
    </row>
    <row r="151" spans="1:24" s="2" customFormat="1" x14ac:dyDescent="0.3">
      <c r="A151" s="451"/>
      <c r="B151" s="433"/>
      <c r="C151" s="433"/>
      <c r="D151" s="433"/>
      <c r="E151" s="433"/>
      <c r="F151" s="439"/>
      <c r="G151" s="460"/>
      <c r="H151" s="442"/>
      <c r="I151" s="445"/>
      <c r="J151" s="599"/>
      <c r="K151" s="601"/>
      <c r="L151" s="433"/>
      <c r="M151" s="433"/>
      <c r="N151" s="371">
        <v>45222</v>
      </c>
      <c r="O151" s="439"/>
      <c r="P151" s="366">
        <v>4000</v>
      </c>
      <c r="Q151" s="367">
        <v>45224</v>
      </c>
      <c r="R151" s="368"/>
      <c r="S151" s="366"/>
      <c r="T151" s="366"/>
      <c r="U151" s="442"/>
      <c r="V151" s="597"/>
      <c r="W151" s="457"/>
      <c r="X151" s="2">
        <v>58</v>
      </c>
    </row>
    <row r="152" spans="1:24" s="108" customFormat="1" ht="108" x14ac:dyDescent="0.3">
      <c r="A152" s="350">
        <v>41</v>
      </c>
      <c r="B152" s="347" t="s">
        <v>56</v>
      </c>
      <c r="C152" s="347" t="s">
        <v>146</v>
      </c>
      <c r="D152" s="347" t="s">
        <v>147</v>
      </c>
      <c r="E152" s="347" t="s">
        <v>405</v>
      </c>
      <c r="F152" s="357">
        <v>45222</v>
      </c>
      <c r="G152" s="351" t="s">
        <v>406</v>
      </c>
      <c r="H152" s="352">
        <v>28830</v>
      </c>
      <c r="I152" s="353">
        <f>IF(X152 = 59, H152 + SUM(S152:S152) - SUM(T152:T152) - SUM(P152:P152) - V152,0)</f>
        <v>0</v>
      </c>
      <c r="J152" s="354">
        <v>235300809163</v>
      </c>
      <c r="K152" s="355" t="s">
        <v>403</v>
      </c>
      <c r="L152" s="347" t="s">
        <v>146</v>
      </c>
      <c r="M152" s="347"/>
      <c r="N152" s="357">
        <v>45222</v>
      </c>
      <c r="O152" s="357" t="s">
        <v>235</v>
      </c>
      <c r="P152" s="352">
        <v>28830</v>
      </c>
      <c r="Q152" s="351">
        <v>45224</v>
      </c>
      <c r="R152" s="347"/>
      <c r="S152" s="352"/>
      <c r="T152" s="352"/>
      <c r="U152" s="352"/>
      <c r="V152" s="356"/>
      <c r="W152" s="348"/>
      <c r="X152" s="108">
        <v>59</v>
      </c>
    </row>
    <row r="153" spans="1:24" s="108" customFormat="1" ht="108" x14ac:dyDescent="0.3">
      <c r="A153" s="350">
        <v>42</v>
      </c>
      <c r="B153" s="347" t="s">
        <v>56</v>
      </c>
      <c r="C153" s="347" t="s">
        <v>146</v>
      </c>
      <c r="D153" s="347" t="s">
        <v>147</v>
      </c>
      <c r="E153" s="347" t="s">
        <v>407</v>
      </c>
      <c r="F153" s="357">
        <v>45224</v>
      </c>
      <c r="G153" s="351" t="s">
        <v>408</v>
      </c>
      <c r="H153" s="352">
        <v>35497.800000000003</v>
      </c>
      <c r="I153" s="353">
        <f>IF(X153 = 60, H153 + SUM(S153:S153) - SUM(T153:T153) - SUM(P153:P153) - V153,0)</f>
        <v>35497.800000000003</v>
      </c>
      <c r="J153" s="354">
        <v>2311189754</v>
      </c>
      <c r="K153" s="355" t="s">
        <v>409</v>
      </c>
      <c r="L153" s="347" t="s">
        <v>146</v>
      </c>
      <c r="M153" s="347"/>
      <c r="N153" s="357"/>
      <c r="O153" s="357" t="s">
        <v>181</v>
      </c>
      <c r="P153" s="352"/>
      <c r="Q153" s="351"/>
      <c r="R153" s="347"/>
      <c r="S153" s="352"/>
      <c r="T153" s="352"/>
      <c r="U153" s="352"/>
      <c r="V153" s="356"/>
      <c r="W153" s="348"/>
      <c r="X153" s="108">
        <v>60</v>
      </c>
    </row>
    <row r="154" spans="1:24" x14ac:dyDescent="0.3">
      <c r="B154" s="110"/>
      <c r="X154" s="8">
        <v>61</v>
      </c>
    </row>
    <row r="155" spans="1:24" x14ac:dyDescent="0.3">
      <c r="B155" s="110"/>
    </row>
    <row r="156" spans="1:24" x14ac:dyDescent="0.3">
      <c r="B156" s="110"/>
    </row>
    <row r="157" spans="1:24" x14ac:dyDescent="0.3">
      <c r="B157" s="110"/>
      <c r="E157" s="45"/>
    </row>
  </sheetData>
  <sheetProtection password="EB34" sheet="1" objects="1" scenarios="1" formatCells="0" formatColumns="0" formatRows="0"/>
  <mergeCells count="394">
    <mergeCell ref="A43:A51"/>
    <mergeCell ref="O43:O51"/>
    <mergeCell ref="U43:U51"/>
    <mergeCell ref="B43:B51"/>
    <mergeCell ref="V43:V51"/>
    <mergeCell ref="C43:C51"/>
    <mergeCell ref="A12:A20"/>
    <mergeCell ref="O12:O20"/>
    <mergeCell ref="U12:U20"/>
    <mergeCell ref="B12:B20"/>
    <mergeCell ref="V12:V20"/>
    <mergeCell ref="C12:C20"/>
    <mergeCell ref="D12:D20"/>
    <mergeCell ref="E12:E20"/>
    <mergeCell ref="F12:F20"/>
    <mergeCell ref="G12:G20"/>
    <mergeCell ref="H12:H20"/>
    <mergeCell ref="I12:I20"/>
    <mergeCell ref="J12:J20"/>
    <mergeCell ref="K12:K20"/>
    <mergeCell ref="L12:L20"/>
    <mergeCell ref="M12:M20"/>
    <mergeCell ref="A62:A66"/>
    <mergeCell ref="O62:O66"/>
    <mergeCell ref="B62:B66"/>
    <mergeCell ref="W136:W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W125:W127"/>
    <mergeCell ref="D125:D127"/>
    <mergeCell ref="E125:E127"/>
    <mergeCell ref="F125:F127"/>
    <mergeCell ref="G125:G127"/>
    <mergeCell ref="H125:H127"/>
    <mergeCell ref="I125:I127"/>
    <mergeCell ref="J125:J127"/>
    <mergeCell ref="K125:K127"/>
    <mergeCell ref="L125:L127"/>
    <mergeCell ref="A136:A137"/>
    <mergeCell ref="O136:O137"/>
    <mergeCell ref="U136:U137"/>
    <mergeCell ref="B136:B137"/>
    <mergeCell ref="V136:V137"/>
    <mergeCell ref="C136:C137"/>
    <mergeCell ref="A125:A127"/>
    <mergeCell ref="O125:O127"/>
    <mergeCell ref="U125:U127"/>
    <mergeCell ref="B125:B127"/>
    <mergeCell ref="V125:V127"/>
    <mergeCell ref="C125:C127"/>
    <mergeCell ref="M125:M127"/>
    <mergeCell ref="A130:A131"/>
    <mergeCell ref="O130:O131"/>
    <mergeCell ref="U130:U131"/>
    <mergeCell ref="B130:B131"/>
    <mergeCell ref="V130:V131"/>
    <mergeCell ref="C130:C131"/>
    <mergeCell ref="A132:A133"/>
    <mergeCell ref="O132:O133"/>
    <mergeCell ref="U132:U133"/>
    <mergeCell ref="B132:B133"/>
    <mergeCell ref="V132:V133"/>
    <mergeCell ref="W68:W77"/>
    <mergeCell ref="D68:D77"/>
    <mergeCell ref="E68:E77"/>
    <mergeCell ref="F68:F77"/>
    <mergeCell ref="G68:G77"/>
    <mergeCell ref="H68:H77"/>
    <mergeCell ref="I68:I77"/>
    <mergeCell ref="J68:J77"/>
    <mergeCell ref="K68:K77"/>
    <mergeCell ref="L68:L77"/>
    <mergeCell ref="M68:M77"/>
    <mergeCell ref="O68:O77"/>
    <mergeCell ref="U68:U77"/>
    <mergeCell ref="V68:V77"/>
    <mergeCell ref="W130:W131"/>
    <mergeCell ref="D130:D131"/>
    <mergeCell ref="E130:E131"/>
    <mergeCell ref="F130:F131"/>
    <mergeCell ref="G130:G131"/>
    <mergeCell ref="H130:H131"/>
    <mergeCell ref="I130:I131"/>
    <mergeCell ref="J130:J131"/>
    <mergeCell ref="K130:K131"/>
    <mergeCell ref="L130:L131"/>
    <mergeCell ref="M130:M131"/>
    <mergeCell ref="C132:C133"/>
    <mergeCell ref="W132:W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V89:V100"/>
    <mergeCell ref="C89:C100"/>
    <mergeCell ref="W89:W100"/>
    <mergeCell ref="D89:D100"/>
    <mergeCell ref="E89:E100"/>
    <mergeCell ref="F89:F100"/>
    <mergeCell ref="G89:G100"/>
    <mergeCell ref="H89:H100"/>
    <mergeCell ref="I89:I100"/>
    <mergeCell ref="J89:J100"/>
    <mergeCell ref="K89:K100"/>
    <mergeCell ref="L89:L100"/>
    <mergeCell ref="M89:M100"/>
    <mergeCell ref="A119:A120"/>
    <mergeCell ref="O119:O120"/>
    <mergeCell ref="U119:U120"/>
    <mergeCell ref="B119:B120"/>
    <mergeCell ref="V119:V120"/>
    <mergeCell ref="C119:C120"/>
    <mergeCell ref="W119:W120"/>
    <mergeCell ref="D119:D120"/>
    <mergeCell ref="E119:E120"/>
    <mergeCell ref="F119:F120"/>
    <mergeCell ref="G119:G120"/>
    <mergeCell ref="H119:H120"/>
    <mergeCell ref="I119:I120"/>
    <mergeCell ref="J119:J120"/>
    <mergeCell ref="K119:K120"/>
    <mergeCell ref="L119:L120"/>
    <mergeCell ref="M119:M120"/>
    <mergeCell ref="A108:A110"/>
    <mergeCell ref="O108:O110"/>
    <mergeCell ref="U108:U110"/>
    <mergeCell ref="B108:B110"/>
    <mergeCell ref="A9:A11"/>
    <mergeCell ref="O9:O11"/>
    <mergeCell ref="U9:U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A52:A61"/>
    <mergeCell ref="O52:O61"/>
    <mergeCell ref="A68:A77"/>
    <mergeCell ref="B68:B77"/>
    <mergeCell ref="C68:C77"/>
    <mergeCell ref="A85:A88"/>
    <mergeCell ref="O85:O88"/>
    <mergeCell ref="U85:U88"/>
    <mergeCell ref="B85:B88"/>
    <mergeCell ref="A102:A107"/>
    <mergeCell ref="B102:B107"/>
    <mergeCell ref="C102:C107"/>
    <mergeCell ref="M102:M107"/>
    <mergeCell ref="C85:C88"/>
    <mergeCell ref="A89:A100"/>
    <mergeCell ref="O89:O100"/>
    <mergeCell ref="U89:U100"/>
    <mergeCell ref="B89:B100"/>
    <mergeCell ref="W82:W84"/>
    <mergeCell ref="D82:D84"/>
    <mergeCell ref="E82:E84"/>
    <mergeCell ref="F82:F84"/>
    <mergeCell ref="G82:G84"/>
    <mergeCell ref="H82:H84"/>
    <mergeCell ref="I82:I84"/>
    <mergeCell ref="J82:J84"/>
    <mergeCell ref="K82:K84"/>
    <mergeCell ref="L82:L84"/>
    <mergeCell ref="M82:M84"/>
    <mergeCell ref="V82:V84"/>
    <mergeCell ref="A82:A84"/>
    <mergeCell ref="O82:O84"/>
    <mergeCell ref="U82:U84"/>
    <mergeCell ref="B82:B84"/>
    <mergeCell ref="A78:A81"/>
    <mergeCell ref="O78:O81"/>
    <mergeCell ref="U78:U81"/>
    <mergeCell ref="B78:B81"/>
    <mergeCell ref="V78:V81"/>
    <mergeCell ref="C78:C81"/>
    <mergeCell ref="C82:C84"/>
    <mergeCell ref="W78:W81"/>
    <mergeCell ref="D78:D81"/>
    <mergeCell ref="E78:E81"/>
    <mergeCell ref="F78:F81"/>
    <mergeCell ref="G78:G81"/>
    <mergeCell ref="H78:H81"/>
    <mergeCell ref="I78:I81"/>
    <mergeCell ref="J78:J81"/>
    <mergeCell ref="K78:K81"/>
    <mergeCell ref="L78:L81"/>
    <mergeCell ref="M78:M81"/>
    <mergeCell ref="S2:U2"/>
    <mergeCell ref="F2:G2"/>
    <mergeCell ref="N2:O2"/>
    <mergeCell ref="U52:U61"/>
    <mergeCell ref="B52:B61"/>
    <mergeCell ref="V52:V61"/>
    <mergeCell ref="C52:C61"/>
    <mergeCell ref="W52:W61"/>
    <mergeCell ref="D52:D61"/>
    <mergeCell ref="E52:E61"/>
    <mergeCell ref="F52:F61"/>
    <mergeCell ref="G52:G61"/>
    <mergeCell ref="H52:H61"/>
    <mergeCell ref="I52:I61"/>
    <mergeCell ref="J52:J61"/>
    <mergeCell ref="K52:K61"/>
    <mergeCell ref="L52:L61"/>
    <mergeCell ref="M52:M61"/>
    <mergeCell ref="V9:V11"/>
    <mergeCell ref="W9:W11"/>
    <mergeCell ref="W12:W20"/>
    <mergeCell ref="W62:W66"/>
    <mergeCell ref="D62:D66"/>
    <mergeCell ref="E62:E66"/>
    <mergeCell ref="F62:F66"/>
    <mergeCell ref="G62:G66"/>
    <mergeCell ref="H62:H66"/>
    <mergeCell ref="I62:I66"/>
    <mergeCell ref="J62:J66"/>
    <mergeCell ref="K62:K66"/>
    <mergeCell ref="L62:L66"/>
    <mergeCell ref="M62:M66"/>
    <mergeCell ref="U62:U66"/>
    <mergeCell ref="V62:V66"/>
    <mergeCell ref="W85:W88"/>
    <mergeCell ref="D85:D88"/>
    <mergeCell ref="E85:E88"/>
    <mergeCell ref="F85:F88"/>
    <mergeCell ref="G85:G88"/>
    <mergeCell ref="H85:H88"/>
    <mergeCell ref="W102:W107"/>
    <mergeCell ref="M85:M88"/>
    <mergeCell ref="W108:W110"/>
    <mergeCell ref="O102:O107"/>
    <mergeCell ref="U102:U107"/>
    <mergeCell ref="V85:V88"/>
    <mergeCell ref="L85:L88"/>
    <mergeCell ref="L102:L107"/>
    <mergeCell ref="L108:L110"/>
    <mergeCell ref="V102:V107"/>
    <mergeCell ref="E102:E107"/>
    <mergeCell ref="F102:F107"/>
    <mergeCell ref="G102:G107"/>
    <mergeCell ref="H102:H107"/>
    <mergeCell ref="I102:I107"/>
    <mergeCell ref="D102:D107"/>
    <mergeCell ref="I85:I88"/>
    <mergeCell ref="J85:J88"/>
    <mergeCell ref="V108:V110"/>
    <mergeCell ref="C108:C110"/>
    <mergeCell ref="W111:W113"/>
    <mergeCell ref="M108:M110"/>
    <mergeCell ref="D108:D110"/>
    <mergeCell ref="E108:E110"/>
    <mergeCell ref="F108:F110"/>
    <mergeCell ref="G108:G110"/>
    <mergeCell ref="H108:H110"/>
    <mergeCell ref="J111:J113"/>
    <mergeCell ref="K111:K113"/>
    <mergeCell ref="L111:L113"/>
    <mergeCell ref="I108:I110"/>
    <mergeCell ref="J108:J110"/>
    <mergeCell ref="K108:K110"/>
    <mergeCell ref="A111:A113"/>
    <mergeCell ref="O111:O113"/>
    <mergeCell ref="U111:U113"/>
    <mergeCell ref="B111:B113"/>
    <mergeCell ref="V111:V113"/>
    <mergeCell ref="C111:C113"/>
    <mergeCell ref="M111:M113"/>
    <mergeCell ref="D111:D113"/>
    <mergeCell ref="W114:W116"/>
    <mergeCell ref="E111:E113"/>
    <mergeCell ref="F111:F113"/>
    <mergeCell ref="G111:G113"/>
    <mergeCell ref="H111:H113"/>
    <mergeCell ref="I111:I113"/>
    <mergeCell ref="A114:A116"/>
    <mergeCell ref="O114:O116"/>
    <mergeCell ref="U114:U116"/>
    <mergeCell ref="B114:B116"/>
    <mergeCell ref="M114:M116"/>
    <mergeCell ref="L114:L116"/>
    <mergeCell ref="V114:V116"/>
    <mergeCell ref="C114:C116"/>
    <mergeCell ref="D114:D116"/>
    <mergeCell ref="E114:E116"/>
    <mergeCell ref="F114:F116"/>
    <mergeCell ref="G114:G116"/>
    <mergeCell ref="H114:H116"/>
    <mergeCell ref="I114:I116"/>
    <mergeCell ref="J114:J116"/>
    <mergeCell ref="K114:K116"/>
    <mergeCell ref="C62:C66"/>
    <mergeCell ref="K85:K88"/>
    <mergeCell ref="J102:J107"/>
    <mergeCell ref="K102:K107"/>
    <mergeCell ref="A21:A42"/>
    <mergeCell ref="O21:O42"/>
    <mergeCell ref="U21:U42"/>
    <mergeCell ref="B21:B42"/>
    <mergeCell ref="V21:V42"/>
    <mergeCell ref="C21:C42"/>
    <mergeCell ref="W21:W42"/>
    <mergeCell ref="D21:D42"/>
    <mergeCell ref="E21:E42"/>
    <mergeCell ref="F21:F42"/>
    <mergeCell ref="G21:G42"/>
    <mergeCell ref="H21:H42"/>
    <mergeCell ref="I21:I42"/>
    <mergeCell ref="J21:J42"/>
    <mergeCell ref="K21:K42"/>
    <mergeCell ref="L21:L42"/>
    <mergeCell ref="M21:M42"/>
    <mergeCell ref="W43:W51"/>
    <mergeCell ref="D43:D51"/>
    <mergeCell ref="E43:E51"/>
    <mergeCell ref="F43:F51"/>
    <mergeCell ref="G43:G51"/>
    <mergeCell ref="H43:H51"/>
    <mergeCell ref="I43:I51"/>
    <mergeCell ref="J43:J51"/>
    <mergeCell ref="K43:K51"/>
    <mergeCell ref="L43:L51"/>
    <mergeCell ref="M43:M51"/>
    <mergeCell ref="W140:W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A142:A146"/>
    <mergeCell ref="O142:O146"/>
    <mergeCell ref="U142:U146"/>
    <mergeCell ref="B142:B146"/>
    <mergeCell ref="V142:V146"/>
    <mergeCell ref="C142:C146"/>
    <mergeCell ref="A140:A141"/>
    <mergeCell ref="O140:O141"/>
    <mergeCell ref="U140:U141"/>
    <mergeCell ref="B140:B141"/>
    <mergeCell ref="V140:V141"/>
    <mergeCell ref="C140:C141"/>
    <mergeCell ref="W142:W146"/>
    <mergeCell ref="D142:D146"/>
    <mergeCell ref="E142:E146"/>
    <mergeCell ref="F142:F146"/>
    <mergeCell ref="G142:G146"/>
    <mergeCell ref="H142:H146"/>
    <mergeCell ref="I142:I146"/>
    <mergeCell ref="J142:J146"/>
    <mergeCell ref="K142:K146"/>
    <mergeCell ref="L142:L146"/>
    <mergeCell ref="M142:M146"/>
    <mergeCell ref="A150:A151"/>
    <mergeCell ref="O150:O151"/>
    <mergeCell ref="U150:U151"/>
    <mergeCell ref="B150:B151"/>
    <mergeCell ref="V150:V151"/>
    <mergeCell ref="C150:C151"/>
    <mergeCell ref="W150:W151"/>
    <mergeCell ref="D150:D151"/>
    <mergeCell ref="E150:E151"/>
    <mergeCell ref="F150:F151"/>
    <mergeCell ref="G150:G151"/>
    <mergeCell ref="H150:H151"/>
    <mergeCell ref="I150:I151"/>
    <mergeCell ref="J150:J151"/>
    <mergeCell ref="K150:K151"/>
    <mergeCell ref="L150:L151"/>
    <mergeCell ref="M150:M15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0"/>
  <sheetViews>
    <sheetView showGridLines="0" topLeftCell="I1" zoomScale="50" zoomScaleNormal="50" workbookViewId="0">
      <pane ySplit="8" topLeftCell="A12" activePane="bottomLeft" state="frozen"/>
      <selection pane="bottomLeft" activeCell="A16" sqref="A16:A18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668" t="s">
        <v>24</v>
      </c>
      <c r="F2" s="669"/>
      <c r="G2" s="98">
        <f>SUM(G9:G9999)</f>
        <v>1960582.45</v>
      </c>
      <c r="L2" s="775" t="s">
        <v>137</v>
      </c>
      <c r="M2" s="776"/>
      <c r="N2" s="87">
        <f>SUM(N9:N9999)</f>
        <v>1572888.17</v>
      </c>
      <c r="P2" s="86"/>
      <c r="Q2" s="523" t="s">
        <v>45</v>
      </c>
      <c r="R2" s="524"/>
      <c r="S2" s="525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8" customFormat="1" ht="37.5" customHeight="1" x14ac:dyDescent="0.3">
      <c r="A9" s="777">
        <v>1</v>
      </c>
      <c r="B9" s="780"/>
      <c r="C9" s="780" t="s">
        <v>188</v>
      </c>
      <c r="D9" s="780" t="s">
        <v>153</v>
      </c>
      <c r="E9" s="783">
        <v>44951</v>
      </c>
      <c r="F9" s="786" t="s">
        <v>154</v>
      </c>
      <c r="G9" s="789">
        <v>1201103.3999999999</v>
      </c>
      <c r="H9" s="795">
        <f>IF(V9 = 1, G9 + SUM(Q9:Q15) - SUM(R9:R15) - SUM(N9:N15) - T9,0)</f>
        <v>387694.27999999991</v>
      </c>
      <c r="I9" s="798">
        <v>2312054894</v>
      </c>
      <c r="J9" s="780" t="s">
        <v>155</v>
      </c>
      <c r="K9" s="780" t="s">
        <v>156</v>
      </c>
      <c r="L9" s="206">
        <v>44227</v>
      </c>
      <c r="M9" s="780" t="s">
        <v>152</v>
      </c>
      <c r="N9" s="200">
        <v>274502.33</v>
      </c>
      <c r="O9" s="206">
        <v>44986</v>
      </c>
      <c r="P9" s="201"/>
      <c r="Q9" s="200"/>
      <c r="R9" s="200"/>
      <c r="S9" s="786"/>
      <c r="T9" s="789"/>
      <c r="U9" s="792"/>
      <c r="V9" s="108">
        <v>1</v>
      </c>
    </row>
    <row r="10" spans="1:22" s="2" customFormat="1" x14ac:dyDescent="0.3">
      <c r="A10" s="778"/>
      <c r="B10" s="781"/>
      <c r="C10" s="781"/>
      <c r="D10" s="781"/>
      <c r="E10" s="784"/>
      <c r="F10" s="787"/>
      <c r="G10" s="790"/>
      <c r="H10" s="796"/>
      <c r="I10" s="799"/>
      <c r="J10" s="781"/>
      <c r="K10" s="781"/>
      <c r="L10" s="207">
        <v>44957</v>
      </c>
      <c r="M10" s="781"/>
      <c r="N10" s="202">
        <v>60000</v>
      </c>
      <c r="O10" s="207">
        <v>44988</v>
      </c>
      <c r="P10" s="203"/>
      <c r="Q10" s="202"/>
      <c r="R10" s="202"/>
      <c r="S10" s="787"/>
      <c r="T10" s="790"/>
      <c r="U10" s="793"/>
      <c r="V10" s="2">
        <v>1</v>
      </c>
    </row>
    <row r="11" spans="1:22" s="2" customFormat="1" x14ac:dyDescent="0.3">
      <c r="A11" s="778"/>
      <c r="B11" s="781"/>
      <c r="C11" s="781"/>
      <c r="D11" s="781"/>
      <c r="E11" s="784"/>
      <c r="F11" s="787"/>
      <c r="G11" s="790"/>
      <c r="H11" s="796"/>
      <c r="I11" s="799"/>
      <c r="J11" s="781"/>
      <c r="K11" s="781"/>
      <c r="L11" s="207">
        <v>44985</v>
      </c>
      <c r="M11" s="781"/>
      <c r="N11" s="202">
        <v>180000</v>
      </c>
      <c r="O11" s="207">
        <v>45008</v>
      </c>
      <c r="P11" s="203"/>
      <c r="Q11" s="202"/>
      <c r="R11" s="202"/>
      <c r="S11" s="787"/>
      <c r="T11" s="790"/>
      <c r="U11" s="793"/>
      <c r="V11" s="2">
        <v>1</v>
      </c>
    </row>
    <row r="12" spans="1:22" s="2" customFormat="1" x14ac:dyDescent="0.3">
      <c r="A12" s="778"/>
      <c r="B12" s="781"/>
      <c r="C12" s="781"/>
      <c r="D12" s="781"/>
      <c r="E12" s="784"/>
      <c r="F12" s="787"/>
      <c r="G12" s="790"/>
      <c r="H12" s="796"/>
      <c r="I12" s="799"/>
      <c r="J12" s="781"/>
      <c r="K12" s="781"/>
      <c r="L12" s="207">
        <v>44985</v>
      </c>
      <c r="M12" s="781"/>
      <c r="N12" s="202">
        <v>24143.63</v>
      </c>
      <c r="O12" s="207">
        <v>45013</v>
      </c>
      <c r="P12" s="203"/>
      <c r="Q12" s="202"/>
      <c r="R12" s="202"/>
      <c r="S12" s="787"/>
      <c r="T12" s="790"/>
      <c r="U12" s="793"/>
      <c r="V12" s="2">
        <v>1</v>
      </c>
    </row>
    <row r="13" spans="1:22" s="2" customFormat="1" x14ac:dyDescent="0.3">
      <c r="A13" s="778"/>
      <c r="B13" s="781"/>
      <c r="C13" s="781"/>
      <c r="D13" s="781"/>
      <c r="E13" s="784"/>
      <c r="F13" s="787"/>
      <c r="G13" s="790"/>
      <c r="H13" s="796"/>
      <c r="I13" s="799"/>
      <c r="J13" s="781"/>
      <c r="K13" s="781"/>
      <c r="L13" s="207">
        <v>44985</v>
      </c>
      <c r="M13" s="781"/>
      <c r="N13" s="202">
        <v>65000</v>
      </c>
      <c r="O13" s="207">
        <v>45022</v>
      </c>
      <c r="P13" s="203"/>
      <c r="Q13" s="202"/>
      <c r="R13" s="202"/>
      <c r="S13" s="787"/>
      <c r="T13" s="790"/>
      <c r="U13" s="793"/>
      <c r="V13" s="2">
        <v>1</v>
      </c>
    </row>
    <row r="14" spans="1:22" s="2" customFormat="1" x14ac:dyDescent="0.3">
      <c r="A14" s="778"/>
      <c r="B14" s="781"/>
      <c r="C14" s="781"/>
      <c r="D14" s="781"/>
      <c r="E14" s="784"/>
      <c r="F14" s="787"/>
      <c r="G14" s="790"/>
      <c r="H14" s="796"/>
      <c r="I14" s="799"/>
      <c r="J14" s="781"/>
      <c r="K14" s="781"/>
      <c r="L14" s="207">
        <v>45016</v>
      </c>
      <c r="M14" s="781"/>
      <c r="N14" s="202">
        <v>130032.9</v>
      </c>
      <c r="O14" s="207">
        <v>45037</v>
      </c>
      <c r="P14" s="203"/>
      <c r="Q14" s="202"/>
      <c r="R14" s="202"/>
      <c r="S14" s="787"/>
      <c r="T14" s="790"/>
      <c r="U14" s="793"/>
      <c r="V14" s="2">
        <v>1</v>
      </c>
    </row>
    <row r="15" spans="1:22" s="2" customFormat="1" x14ac:dyDescent="0.3">
      <c r="A15" s="779"/>
      <c r="B15" s="782"/>
      <c r="C15" s="782"/>
      <c r="D15" s="782"/>
      <c r="E15" s="785"/>
      <c r="F15" s="788"/>
      <c r="G15" s="791"/>
      <c r="H15" s="797"/>
      <c r="I15" s="800"/>
      <c r="J15" s="782"/>
      <c r="K15" s="782"/>
      <c r="L15" s="208">
        <v>45046</v>
      </c>
      <c r="M15" s="782"/>
      <c r="N15" s="204">
        <v>79730.259999999995</v>
      </c>
      <c r="O15" s="208">
        <v>45064</v>
      </c>
      <c r="P15" s="205"/>
      <c r="Q15" s="204"/>
      <c r="R15" s="204"/>
      <c r="S15" s="788"/>
      <c r="T15" s="791"/>
      <c r="U15" s="794"/>
      <c r="V15" s="2">
        <v>1</v>
      </c>
    </row>
    <row r="16" spans="1:22" s="108" customFormat="1" ht="56.25" customHeight="1" x14ac:dyDescent="0.3">
      <c r="A16" s="769">
        <v>2</v>
      </c>
      <c r="B16" s="751"/>
      <c r="C16" s="751" t="s">
        <v>147</v>
      </c>
      <c r="D16" s="751" t="s">
        <v>338</v>
      </c>
      <c r="E16" s="763">
        <v>45096</v>
      </c>
      <c r="F16" s="754" t="s">
        <v>339</v>
      </c>
      <c r="G16" s="757">
        <v>759479.05</v>
      </c>
      <c r="H16" s="772">
        <f>IF(V16 = 2, G16 + SUM(Q16:Q18) - SUM(R16:R18) - SUM(N16:N18) - T16,0)</f>
        <v>0</v>
      </c>
      <c r="I16" s="766">
        <v>7715995942</v>
      </c>
      <c r="J16" s="751" t="s">
        <v>277</v>
      </c>
      <c r="K16" s="751" t="s">
        <v>340</v>
      </c>
      <c r="L16" s="320"/>
      <c r="M16" s="751" t="s">
        <v>341</v>
      </c>
      <c r="N16" s="314">
        <v>262727.84999999998</v>
      </c>
      <c r="O16" s="320">
        <v>45142</v>
      </c>
      <c r="P16" s="315"/>
      <c r="Q16" s="314"/>
      <c r="R16" s="314"/>
      <c r="S16" s="754"/>
      <c r="T16" s="757"/>
      <c r="U16" s="760"/>
      <c r="V16" s="108">
        <v>2</v>
      </c>
    </row>
    <row r="17" spans="1:22" s="2" customFormat="1" x14ac:dyDescent="0.3">
      <c r="A17" s="770"/>
      <c r="B17" s="752"/>
      <c r="C17" s="752"/>
      <c r="D17" s="752"/>
      <c r="E17" s="764"/>
      <c r="F17" s="755"/>
      <c r="G17" s="758"/>
      <c r="H17" s="773"/>
      <c r="I17" s="767"/>
      <c r="J17" s="752"/>
      <c r="K17" s="752"/>
      <c r="L17" s="321"/>
      <c r="M17" s="752"/>
      <c r="N17" s="316">
        <v>131282.25</v>
      </c>
      <c r="O17" s="321">
        <v>45161</v>
      </c>
      <c r="P17" s="317"/>
      <c r="Q17" s="316"/>
      <c r="R17" s="316"/>
      <c r="S17" s="755"/>
      <c r="T17" s="758"/>
      <c r="U17" s="761"/>
      <c r="V17" s="2">
        <v>2</v>
      </c>
    </row>
    <row r="18" spans="1:22" s="2" customFormat="1" x14ac:dyDescent="0.3">
      <c r="A18" s="771"/>
      <c r="B18" s="753"/>
      <c r="C18" s="753"/>
      <c r="D18" s="753"/>
      <c r="E18" s="765"/>
      <c r="F18" s="756"/>
      <c r="G18" s="759"/>
      <c r="H18" s="774"/>
      <c r="I18" s="768"/>
      <c r="J18" s="753"/>
      <c r="K18" s="753"/>
      <c r="L18" s="322"/>
      <c r="M18" s="753"/>
      <c r="N18" s="318">
        <v>365468.95</v>
      </c>
      <c r="O18" s="322">
        <v>45161</v>
      </c>
      <c r="P18" s="319"/>
      <c r="Q18" s="318"/>
      <c r="R18" s="318"/>
      <c r="S18" s="756"/>
      <c r="T18" s="759"/>
      <c r="U18" s="762"/>
      <c r="V18" s="2">
        <v>2</v>
      </c>
    </row>
    <row r="19" spans="1:22" s="108" customFormat="1" x14ac:dyDescent="0.3">
      <c r="A19" s="236">
        <v>3</v>
      </c>
      <c r="B19" s="237"/>
      <c r="C19" s="237"/>
      <c r="D19" s="237"/>
      <c r="E19" s="247"/>
      <c r="F19" s="238"/>
      <c r="G19" s="239"/>
      <c r="H19" s="240">
        <f>IF(V19 = 3, G19 + SUM(Q19:Q19) - SUM(R19:R19) - SUM(N19:N19) - T19,0)</f>
        <v>0</v>
      </c>
      <c r="I19" s="248"/>
      <c r="J19" s="237"/>
      <c r="K19" s="237"/>
      <c r="L19" s="247"/>
      <c r="M19" s="237"/>
      <c r="N19" s="239"/>
      <c r="O19" s="247"/>
      <c r="P19" s="238"/>
      <c r="Q19" s="239"/>
      <c r="R19" s="239"/>
      <c r="S19" s="238"/>
      <c r="T19" s="239"/>
      <c r="U19" s="235"/>
      <c r="V19" s="108">
        <v>3</v>
      </c>
    </row>
    <row r="20" spans="1:22" x14ac:dyDescent="0.3">
      <c r="V20" s="8">
        <v>4</v>
      </c>
    </row>
  </sheetData>
  <sheetProtection password="EB34" sheet="1" objects="1" scenarios="1" formatCells="0" formatColumns="0" formatRows="0"/>
  <mergeCells count="33">
    <mergeCell ref="T9:T15"/>
    <mergeCell ref="C9:C15"/>
    <mergeCell ref="U9:U15"/>
    <mergeCell ref="G9:G15"/>
    <mergeCell ref="H9:H15"/>
    <mergeCell ref="I9:I15"/>
    <mergeCell ref="J9:J15"/>
    <mergeCell ref="K9:K15"/>
    <mergeCell ref="Q2:S2"/>
    <mergeCell ref="E2:F2"/>
    <mergeCell ref="L2:M2"/>
    <mergeCell ref="A9:A15"/>
    <mergeCell ref="B9:B15"/>
    <mergeCell ref="D9:D15"/>
    <mergeCell ref="E9:E15"/>
    <mergeCell ref="F9:F15"/>
    <mergeCell ref="M9:M15"/>
    <mergeCell ref="S9:S15"/>
    <mergeCell ref="A16:A18"/>
    <mergeCell ref="B16:B18"/>
    <mergeCell ref="C16:C18"/>
    <mergeCell ref="G16:G18"/>
    <mergeCell ref="H16:H18"/>
    <mergeCell ref="M16:M18"/>
    <mergeCell ref="S16:S18"/>
    <mergeCell ref="T16:T18"/>
    <mergeCell ref="U16:U18"/>
    <mergeCell ref="D16:D18"/>
    <mergeCell ref="E16:E18"/>
    <mergeCell ref="F16:F18"/>
    <mergeCell ref="I16:I18"/>
    <mergeCell ref="J16:J18"/>
    <mergeCell ref="K16:K18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5"/>
  <sheetViews>
    <sheetView showGridLines="0" topLeftCell="J1" zoomScale="50" zoomScaleNormal="50" workbookViewId="0">
      <pane ySplit="8" topLeftCell="A10" activePane="bottomLeft" state="frozen"/>
      <selection pane="bottomLeft" activeCell="X14" sqref="X14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68" t="s">
        <v>139</v>
      </c>
      <c r="F2" s="669"/>
      <c r="G2" s="100">
        <f>SUM(G9:G9999)</f>
        <v>26100</v>
      </c>
      <c r="H2" s="15"/>
      <c r="O2" s="668" t="s">
        <v>24</v>
      </c>
      <c r="P2" s="669"/>
      <c r="Q2" s="98">
        <f>SUM(Q9:Q9999)</f>
        <v>25578</v>
      </c>
      <c r="T2" s="523" t="s">
        <v>137</v>
      </c>
      <c r="U2" s="525"/>
      <c r="V2" s="87">
        <f>SUM(V9:V9999)</f>
        <v>17052</v>
      </c>
      <c r="X2" s="86"/>
      <c r="Y2" s="523" t="s">
        <v>45</v>
      </c>
      <c r="Z2" s="524"/>
      <c r="AA2" s="525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8" customFormat="1" ht="168.75" customHeight="1" x14ac:dyDescent="0.3">
      <c r="A9" s="807">
        <v>1</v>
      </c>
      <c r="B9" s="804" t="s">
        <v>56</v>
      </c>
      <c r="C9" s="804" t="s">
        <v>250</v>
      </c>
      <c r="D9" s="804" t="s">
        <v>147</v>
      </c>
      <c r="E9" s="804" t="s">
        <v>251</v>
      </c>
      <c r="F9" s="804" t="s">
        <v>252</v>
      </c>
      <c r="G9" s="813">
        <v>26100</v>
      </c>
      <c r="H9" s="801">
        <f>IF(AD9 = 1, G9 - Q9,0)</f>
        <v>522</v>
      </c>
      <c r="I9" s="813">
        <v>4</v>
      </c>
      <c r="J9" s="813"/>
      <c r="K9" s="804" t="s">
        <v>179</v>
      </c>
      <c r="L9" s="816"/>
      <c r="M9" s="804" t="s">
        <v>253</v>
      </c>
      <c r="N9" s="819">
        <v>45009</v>
      </c>
      <c r="O9" s="804" t="s">
        <v>172</v>
      </c>
      <c r="P9" s="804" t="s">
        <v>171</v>
      </c>
      <c r="Q9" s="813">
        <v>25578</v>
      </c>
      <c r="R9" s="801">
        <f>IF(AD9 = 1, Q9 + SUM(Y9:Y14) - SUM(Z9:Z14) - SUM(V9:V14) - AB9,0)</f>
        <v>8526</v>
      </c>
      <c r="S9" s="804"/>
      <c r="T9" s="378">
        <v>45050</v>
      </c>
      <c r="U9" s="810" t="s">
        <v>254</v>
      </c>
      <c r="V9" s="372">
        <v>2842</v>
      </c>
      <c r="W9" s="378">
        <v>45061</v>
      </c>
      <c r="X9" s="373"/>
      <c r="Y9" s="372"/>
      <c r="Z9" s="372"/>
      <c r="AA9" s="810"/>
      <c r="AB9" s="813"/>
      <c r="AC9" s="822"/>
      <c r="AD9" s="108">
        <v>1</v>
      </c>
    </row>
    <row r="10" spans="1:33" s="2" customFormat="1" x14ac:dyDescent="0.3">
      <c r="A10" s="808"/>
      <c r="B10" s="805"/>
      <c r="C10" s="805"/>
      <c r="D10" s="805"/>
      <c r="E10" s="805"/>
      <c r="F10" s="805"/>
      <c r="G10" s="814"/>
      <c r="H10" s="802"/>
      <c r="I10" s="814"/>
      <c r="J10" s="814"/>
      <c r="K10" s="805"/>
      <c r="L10" s="817"/>
      <c r="M10" s="805"/>
      <c r="N10" s="820"/>
      <c r="O10" s="805"/>
      <c r="P10" s="805"/>
      <c r="Q10" s="814"/>
      <c r="R10" s="802"/>
      <c r="S10" s="805"/>
      <c r="T10" s="379">
        <v>45077</v>
      </c>
      <c r="U10" s="811"/>
      <c r="V10" s="374">
        <v>2842</v>
      </c>
      <c r="W10" s="379">
        <v>45082</v>
      </c>
      <c r="X10" s="375"/>
      <c r="Y10" s="374"/>
      <c r="Z10" s="374"/>
      <c r="AA10" s="811"/>
      <c r="AB10" s="814"/>
      <c r="AC10" s="823"/>
      <c r="AD10" s="2">
        <v>1</v>
      </c>
    </row>
    <row r="11" spans="1:33" s="2" customFormat="1" x14ac:dyDescent="0.3">
      <c r="A11" s="808"/>
      <c r="B11" s="805"/>
      <c r="C11" s="805"/>
      <c r="D11" s="805"/>
      <c r="E11" s="805"/>
      <c r="F11" s="805"/>
      <c r="G11" s="814"/>
      <c r="H11" s="802"/>
      <c r="I11" s="814"/>
      <c r="J11" s="814"/>
      <c r="K11" s="805"/>
      <c r="L11" s="817"/>
      <c r="M11" s="805"/>
      <c r="N11" s="820"/>
      <c r="O11" s="805"/>
      <c r="P11" s="805"/>
      <c r="Q11" s="814"/>
      <c r="R11" s="802"/>
      <c r="S11" s="805"/>
      <c r="T11" s="379">
        <v>45107</v>
      </c>
      <c r="U11" s="811"/>
      <c r="V11" s="374">
        <v>2842</v>
      </c>
      <c r="W11" s="379">
        <v>45117</v>
      </c>
      <c r="X11" s="375"/>
      <c r="Y11" s="374"/>
      <c r="Z11" s="374"/>
      <c r="AA11" s="811"/>
      <c r="AB11" s="814"/>
      <c r="AC11" s="823"/>
      <c r="AD11" s="2">
        <v>1</v>
      </c>
    </row>
    <row r="12" spans="1:33" s="2" customFormat="1" x14ac:dyDescent="0.3">
      <c r="A12" s="808"/>
      <c r="B12" s="805"/>
      <c r="C12" s="805"/>
      <c r="D12" s="805"/>
      <c r="E12" s="805"/>
      <c r="F12" s="805"/>
      <c r="G12" s="814"/>
      <c r="H12" s="802"/>
      <c r="I12" s="814"/>
      <c r="J12" s="814"/>
      <c r="K12" s="805"/>
      <c r="L12" s="817"/>
      <c r="M12" s="805"/>
      <c r="N12" s="820"/>
      <c r="O12" s="805"/>
      <c r="P12" s="805"/>
      <c r="Q12" s="814"/>
      <c r="R12" s="802"/>
      <c r="S12" s="805"/>
      <c r="T12" s="379">
        <v>45138</v>
      </c>
      <c r="U12" s="811"/>
      <c r="V12" s="374">
        <v>2842</v>
      </c>
      <c r="W12" s="379">
        <v>45145</v>
      </c>
      <c r="X12" s="375"/>
      <c r="Y12" s="374"/>
      <c r="Z12" s="374"/>
      <c r="AA12" s="811"/>
      <c r="AB12" s="814"/>
      <c r="AC12" s="823"/>
      <c r="AD12" s="2">
        <v>1</v>
      </c>
    </row>
    <row r="13" spans="1:33" s="2" customFormat="1" x14ac:dyDescent="0.3">
      <c r="A13" s="808"/>
      <c r="B13" s="805"/>
      <c r="C13" s="805"/>
      <c r="D13" s="805"/>
      <c r="E13" s="805"/>
      <c r="F13" s="805"/>
      <c r="G13" s="814"/>
      <c r="H13" s="802"/>
      <c r="I13" s="814"/>
      <c r="J13" s="814"/>
      <c r="K13" s="805"/>
      <c r="L13" s="817"/>
      <c r="M13" s="805"/>
      <c r="N13" s="820"/>
      <c r="O13" s="805"/>
      <c r="P13" s="805"/>
      <c r="Q13" s="814"/>
      <c r="R13" s="802"/>
      <c r="S13" s="805"/>
      <c r="T13" s="379">
        <v>45169</v>
      </c>
      <c r="U13" s="811"/>
      <c r="V13" s="374">
        <v>2842</v>
      </c>
      <c r="W13" s="379">
        <v>45176</v>
      </c>
      <c r="X13" s="375"/>
      <c r="Y13" s="374"/>
      <c r="Z13" s="374"/>
      <c r="AA13" s="811"/>
      <c r="AB13" s="814"/>
      <c r="AC13" s="823"/>
      <c r="AD13" s="2">
        <v>1</v>
      </c>
    </row>
    <row r="14" spans="1:33" s="2" customFormat="1" x14ac:dyDescent="0.3">
      <c r="A14" s="809"/>
      <c r="B14" s="806"/>
      <c r="C14" s="806"/>
      <c r="D14" s="806"/>
      <c r="E14" s="806"/>
      <c r="F14" s="806"/>
      <c r="G14" s="815"/>
      <c r="H14" s="803"/>
      <c r="I14" s="815"/>
      <c r="J14" s="815"/>
      <c r="K14" s="806"/>
      <c r="L14" s="818"/>
      <c r="M14" s="806"/>
      <c r="N14" s="821"/>
      <c r="O14" s="806"/>
      <c r="P14" s="806"/>
      <c r="Q14" s="815"/>
      <c r="R14" s="803"/>
      <c r="S14" s="806"/>
      <c r="T14" s="380">
        <v>45199</v>
      </c>
      <c r="U14" s="812"/>
      <c r="V14" s="376">
        <v>2842</v>
      </c>
      <c r="W14" s="380">
        <v>45204</v>
      </c>
      <c r="X14" s="377"/>
      <c r="Y14" s="376"/>
      <c r="Z14" s="376"/>
      <c r="AA14" s="812"/>
      <c r="AB14" s="815"/>
      <c r="AC14" s="824"/>
      <c r="AD14" s="2">
        <v>1</v>
      </c>
    </row>
    <row r="15" spans="1:33" x14ac:dyDescent="0.3">
      <c r="AD15" s="8">
        <v>2</v>
      </c>
    </row>
  </sheetData>
  <sheetProtection password="EB34" sheet="1" objects="1" scenarios="1" formatCells="0" formatColumns="0" formatRows="0"/>
  <mergeCells count="27">
    <mergeCell ref="AB9:AB14"/>
    <mergeCell ref="AC9:AC14"/>
    <mergeCell ref="E2:F2"/>
    <mergeCell ref="O2:P2"/>
    <mergeCell ref="Y2:AA2"/>
    <mergeCell ref="T2:U2"/>
    <mergeCell ref="H9:H14"/>
    <mergeCell ref="I9:I14"/>
    <mergeCell ref="J9:J14"/>
    <mergeCell ref="K9:K14"/>
    <mergeCell ref="L9:L14"/>
    <mergeCell ref="M9:M14"/>
    <mergeCell ref="N9:N14"/>
    <mergeCell ref="O9:O14"/>
    <mergeCell ref="P9:P14"/>
    <mergeCell ref="Q9:Q14"/>
    <mergeCell ref="R9:R14"/>
    <mergeCell ref="S9:S14"/>
    <mergeCell ref="A9:A14"/>
    <mergeCell ref="U9:U14"/>
    <mergeCell ref="AA9:AA14"/>
    <mergeCell ref="B9:B14"/>
    <mergeCell ref="C9:C14"/>
    <mergeCell ref="D9:D14"/>
    <mergeCell ref="E9:E14"/>
    <mergeCell ref="F9:F14"/>
    <mergeCell ref="G9:G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1"/>
  <sheetViews>
    <sheetView showGridLines="0" topLeftCell="O1" zoomScale="50" zoomScaleNormal="50" workbookViewId="0">
      <pane ySplit="8" topLeftCell="A22" activePane="bottomLeft" state="frozen"/>
      <selection pane="bottomLeft" activeCell="T32" sqref="T32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668" t="s">
        <v>139</v>
      </c>
      <c r="F2" s="669"/>
      <c r="G2" s="100">
        <f>SUM(G9:G9999)</f>
        <v>763740.72</v>
      </c>
      <c r="H2" s="15"/>
      <c r="O2" s="668" t="s">
        <v>24</v>
      </c>
      <c r="P2" s="669"/>
      <c r="Q2" s="98">
        <f>SUM(Q9:Q9999)</f>
        <v>763740.72</v>
      </c>
      <c r="T2" s="523" t="s">
        <v>137</v>
      </c>
      <c r="U2" s="525"/>
      <c r="V2" s="87">
        <f>SUM(V9:V9999)</f>
        <v>364893.69999999995</v>
      </c>
      <c r="X2" s="86"/>
      <c r="Y2" s="523" t="s">
        <v>45</v>
      </c>
      <c r="Z2" s="524"/>
      <c r="AA2" s="525"/>
      <c r="AB2" s="88">
        <f>SUM(AB9:AB9999)</f>
        <v>398847.02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8" customFormat="1" ht="75" customHeight="1" x14ac:dyDescent="0.3">
      <c r="A9" s="825">
        <v>1</v>
      </c>
      <c r="B9" s="827" t="s">
        <v>56</v>
      </c>
      <c r="C9" s="827" t="s">
        <v>278</v>
      </c>
      <c r="D9" s="827" t="s">
        <v>147</v>
      </c>
      <c r="E9" s="827" t="s">
        <v>279</v>
      </c>
      <c r="F9" s="827" t="s">
        <v>280</v>
      </c>
      <c r="G9" s="829">
        <v>763740.72</v>
      </c>
      <c r="H9" s="831">
        <f>IF(AD9 = 1, G9 - Q9,0)</f>
        <v>0</v>
      </c>
      <c r="I9" s="829">
        <v>1</v>
      </c>
      <c r="J9" s="829"/>
      <c r="K9" s="827" t="s">
        <v>179</v>
      </c>
      <c r="L9" s="827"/>
      <c r="M9" s="827" t="s">
        <v>279</v>
      </c>
      <c r="N9" s="835">
        <v>45023</v>
      </c>
      <c r="O9" s="827" t="s">
        <v>281</v>
      </c>
      <c r="P9" s="827" t="s">
        <v>282</v>
      </c>
      <c r="Q9" s="829">
        <v>763740.72</v>
      </c>
      <c r="R9" s="831">
        <f>IF(AD9 = 1, Q9 + SUM(Y9:Y30) - SUM(Z9:Z30) - SUM(V9:V30) - AB9,0)</f>
        <v>0</v>
      </c>
      <c r="S9" s="827"/>
      <c r="T9" s="255">
        <v>45062</v>
      </c>
      <c r="U9" s="827" t="s">
        <v>283</v>
      </c>
      <c r="V9" s="251">
        <v>11850</v>
      </c>
      <c r="W9" s="255">
        <v>45064</v>
      </c>
      <c r="X9" s="252"/>
      <c r="Y9" s="251"/>
      <c r="Z9" s="251"/>
      <c r="AA9" s="827"/>
      <c r="AB9" s="829">
        <v>398847.02</v>
      </c>
      <c r="AC9" s="833"/>
      <c r="AD9" s="108">
        <v>1</v>
      </c>
    </row>
    <row r="10" spans="1:33" s="2" customFormat="1" x14ac:dyDescent="0.3">
      <c r="A10" s="826"/>
      <c r="B10" s="828"/>
      <c r="C10" s="828"/>
      <c r="D10" s="828"/>
      <c r="E10" s="828"/>
      <c r="F10" s="828"/>
      <c r="G10" s="830"/>
      <c r="H10" s="832"/>
      <c r="I10" s="830"/>
      <c r="J10" s="830"/>
      <c r="K10" s="828"/>
      <c r="L10" s="828"/>
      <c r="M10" s="828"/>
      <c r="N10" s="836"/>
      <c r="O10" s="828"/>
      <c r="P10" s="828"/>
      <c r="Q10" s="830"/>
      <c r="R10" s="832"/>
      <c r="S10" s="828"/>
      <c r="T10" s="256">
        <v>45062</v>
      </c>
      <c r="U10" s="828"/>
      <c r="V10" s="253">
        <v>28425</v>
      </c>
      <c r="W10" s="256">
        <v>45064</v>
      </c>
      <c r="X10" s="254"/>
      <c r="Y10" s="253"/>
      <c r="Z10" s="253"/>
      <c r="AA10" s="828"/>
      <c r="AB10" s="830"/>
      <c r="AC10" s="834"/>
      <c r="AD10" s="2">
        <v>1</v>
      </c>
    </row>
    <row r="11" spans="1:33" s="2" customFormat="1" x14ac:dyDescent="0.3">
      <c r="A11" s="826"/>
      <c r="B11" s="828"/>
      <c r="C11" s="828"/>
      <c r="D11" s="828"/>
      <c r="E11" s="828"/>
      <c r="F11" s="828"/>
      <c r="G11" s="830"/>
      <c r="H11" s="832"/>
      <c r="I11" s="830"/>
      <c r="J11" s="830"/>
      <c r="K11" s="828"/>
      <c r="L11" s="828"/>
      <c r="M11" s="828"/>
      <c r="N11" s="836"/>
      <c r="O11" s="828"/>
      <c r="P11" s="828"/>
      <c r="Q11" s="830"/>
      <c r="R11" s="832"/>
      <c r="S11" s="828"/>
      <c r="T11" s="256">
        <v>45062</v>
      </c>
      <c r="U11" s="828"/>
      <c r="V11" s="253">
        <v>82766.22</v>
      </c>
      <c r="W11" s="256">
        <v>45064</v>
      </c>
      <c r="X11" s="254"/>
      <c r="Y11" s="253"/>
      <c r="Z11" s="253"/>
      <c r="AA11" s="828"/>
      <c r="AB11" s="830"/>
      <c r="AC11" s="834"/>
      <c r="AD11" s="2">
        <v>1</v>
      </c>
    </row>
    <row r="12" spans="1:33" s="2" customFormat="1" x14ac:dyDescent="0.3">
      <c r="A12" s="826"/>
      <c r="B12" s="828"/>
      <c r="C12" s="828"/>
      <c r="D12" s="828"/>
      <c r="E12" s="828"/>
      <c r="F12" s="828"/>
      <c r="G12" s="830"/>
      <c r="H12" s="832"/>
      <c r="I12" s="830"/>
      <c r="J12" s="830"/>
      <c r="K12" s="828"/>
      <c r="L12" s="828"/>
      <c r="M12" s="828"/>
      <c r="N12" s="836"/>
      <c r="O12" s="828"/>
      <c r="P12" s="828"/>
      <c r="Q12" s="830"/>
      <c r="R12" s="832"/>
      <c r="S12" s="828"/>
      <c r="T12" s="256">
        <v>45062</v>
      </c>
      <c r="U12" s="828"/>
      <c r="V12" s="253">
        <v>5283.06</v>
      </c>
      <c r="W12" s="256">
        <v>45064</v>
      </c>
      <c r="X12" s="254"/>
      <c r="Y12" s="253"/>
      <c r="Z12" s="253"/>
      <c r="AA12" s="828"/>
      <c r="AB12" s="830"/>
      <c r="AC12" s="834"/>
      <c r="AD12" s="2">
        <v>1</v>
      </c>
    </row>
    <row r="13" spans="1:33" s="2" customFormat="1" x14ac:dyDescent="0.3">
      <c r="A13" s="826"/>
      <c r="B13" s="828"/>
      <c r="C13" s="828"/>
      <c r="D13" s="828"/>
      <c r="E13" s="828"/>
      <c r="F13" s="828"/>
      <c r="G13" s="830"/>
      <c r="H13" s="832"/>
      <c r="I13" s="830"/>
      <c r="J13" s="830"/>
      <c r="K13" s="828"/>
      <c r="L13" s="828"/>
      <c r="M13" s="828"/>
      <c r="N13" s="836"/>
      <c r="O13" s="828"/>
      <c r="P13" s="828"/>
      <c r="Q13" s="830"/>
      <c r="R13" s="832"/>
      <c r="S13" s="828"/>
      <c r="T13" s="256">
        <v>45062</v>
      </c>
      <c r="U13" s="828"/>
      <c r="V13" s="253">
        <v>875</v>
      </c>
      <c r="W13" s="256">
        <v>45064</v>
      </c>
      <c r="X13" s="254"/>
      <c r="Y13" s="253"/>
      <c r="Z13" s="253"/>
      <c r="AA13" s="828"/>
      <c r="AB13" s="830"/>
      <c r="AC13" s="834"/>
      <c r="AD13" s="2">
        <v>1</v>
      </c>
    </row>
    <row r="14" spans="1:33" s="2" customFormat="1" x14ac:dyDescent="0.3">
      <c r="A14" s="826"/>
      <c r="B14" s="828"/>
      <c r="C14" s="828"/>
      <c r="D14" s="828"/>
      <c r="E14" s="828"/>
      <c r="F14" s="828"/>
      <c r="G14" s="830"/>
      <c r="H14" s="832"/>
      <c r="I14" s="830"/>
      <c r="J14" s="830"/>
      <c r="K14" s="828"/>
      <c r="L14" s="828"/>
      <c r="M14" s="828"/>
      <c r="N14" s="836"/>
      <c r="O14" s="828"/>
      <c r="P14" s="828"/>
      <c r="Q14" s="830"/>
      <c r="R14" s="832"/>
      <c r="S14" s="828"/>
      <c r="T14" s="256">
        <v>45062</v>
      </c>
      <c r="U14" s="828"/>
      <c r="V14" s="253">
        <v>7800</v>
      </c>
      <c r="W14" s="256">
        <v>45064</v>
      </c>
      <c r="X14" s="254"/>
      <c r="Y14" s="253"/>
      <c r="Z14" s="253"/>
      <c r="AA14" s="828"/>
      <c r="AB14" s="830"/>
      <c r="AC14" s="834"/>
      <c r="AD14" s="2">
        <v>1</v>
      </c>
    </row>
    <row r="15" spans="1:33" s="2" customFormat="1" x14ac:dyDescent="0.3">
      <c r="A15" s="826"/>
      <c r="B15" s="828"/>
      <c r="C15" s="828"/>
      <c r="D15" s="828"/>
      <c r="E15" s="828"/>
      <c r="F15" s="828"/>
      <c r="G15" s="830"/>
      <c r="H15" s="832"/>
      <c r="I15" s="830"/>
      <c r="J15" s="830"/>
      <c r="K15" s="828"/>
      <c r="L15" s="828"/>
      <c r="M15" s="828"/>
      <c r="N15" s="836"/>
      <c r="O15" s="828"/>
      <c r="P15" s="828"/>
      <c r="Q15" s="830"/>
      <c r="R15" s="832"/>
      <c r="S15" s="828"/>
      <c r="T15" s="256">
        <v>45062</v>
      </c>
      <c r="U15" s="828"/>
      <c r="V15" s="253">
        <v>3106.89</v>
      </c>
      <c r="W15" s="256">
        <v>45064</v>
      </c>
      <c r="X15" s="254"/>
      <c r="Y15" s="253"/>
      <c r="Z15" s="253"/>
      <c r="AA15" s="828"/>
      <c r="AB15" s="830"/>
      <c r="AC15" s="834"/>
      <c r="AD15" s="2">
        <v>1</v>
      </c>
    </row>
    <row r="16" spans="1:33" s="2" customFormat="1" x14ac:dyDescent="0.3">
      <c r="A16" s="826"/>
      <c r="B16" s="828"/>
      <c r="C16" s="828"/>
      <c r="D16" s="828"/>
      <c r="E16" s="828"/>
      <c r="F16" s="828"/>
      <c r="G16" s="830"/>
      <c r="H16" s="832"/>
      <c r="I16" s="830"/>
      <c r="J16" s="830"/>
      <c r="K16" s="828"/>
      <c r="L16" s="828"/>
      <c r="M16" s="828"/>
      <c r="N16" s="836"/>
      <c r="O16" s="828"/>
      <c r="P16" s="828"/>
      <c r="Q16" s="830"/>
      <c r="R16" s="832"/>
      <c r="S16" s="828"/>
      <c r="T16" s="256">
        <v>45062</v>
      </c>
      <c r="U16" s="828"/>
      <c r="V16" s="253">
        <v>14942.3</v>
      </c>
      <c r="W16" s="256">
        <v>45064</v>
      </c>
      <c r="X16" s="254"/>
      <c r="Y16" s="253"/>
      <c r="Z16" s="253"/>
      <c r="AA16" s="828"/>
      <c r="AB16" s="830"/>
      <c r="AC16" s="834"/>
      <c r="AD16" s="2">
        <v>1</v>
      </c>
    </row>
    <row r="17" spans="1:30" s="2" customFormat="1" x14ac:dyDescent="0.3">
      <c r="A17" s="826"/>
      <c r="B17" s="828"/>
      <c r="C17" s="828"/>
      <c r="D17" s="828"/>
      <c r="E17" s="828"/>
      <c r="F17" s="828"/>
      <c r="G17" s="830"/>
      <c r="H17" s="832"/>
      <c r="I17" s="830"/>
      <c r="J17" s="830"/>
      <c r="K17" s="828"/>
      <c r="L17" s="828"/>
      <c r="M17" s="828"/>
      <c r="N17" s="836"/>
      <c r="O17" s="828"/>
      <c r="P17" s="828"/>
      <c r="Q17" s="830"/>
      <c r="R17" s="832"/>
      <c r="S17" s="828"/>
      <c r="T17" s="256">
        <v>45062</v>
      </c>
      <c r="U17" s="828"/>
      <c r="V17" s="253">
        <v>12225.52</v>
      </c>
      <c r="W17" s="256">
        <v>45064</v>
      </c>
      <c r="X17" s="254"/>
      <c r="Y17" s="253"/>
      <c r="Z17" s="253"/>
      <c r="AA17" s="828"/>
      <c r="AB17" s="830"/>
      <c r="AC17" s="834"/>
      <c r="AD17" s="2">
        <v>1</v>
      </c>
    </row>
    <row r="18" spans="1:30" s="2" customFormat="1" x14ac:dyDescent="0.3">
      <c r="A18" s="826"/>
      <c r="B18" s="828"/>
      <c r="C18" s="828"/>
      <c r="D18" s="828"/>
      <c r="E18" s="828"/>
      <c r="F18" s="828"/>
      <c r="G18" s="830"/>
      <c r="H18" s="832"/>
      <c r="I18" s="830"/>
      <c r="J18" s="830"/>
      <c r="K18" s="828"/>
      <c r="L18" s="828"/>
      <c r="M18" s="828"/>
      <c r="N18" s="836"/>
      <c r="O18" s="828"/>
      <c r="P18" s="828"/>
      <c r="Q18" s="830"/>
      <c r="R18" s="832"/>
      <c r="S18" s="828"/>
      <c r="T18" s="256">
        <v>45064</v>
      </c>
      <c r="U18" s="828"/>
      <c r="V18" s="253">
        <v>31986.71</v>
      </c>
      <c r="W18" s="256">
        <v>45070</v>
      </c>
      <c r="X18" s="254"/>
      <c r="Y18" s="253"/>
      <c r="Z18" s="253"/>
      <c r="AA18" s="828"/>
      <c r="AB18" s="830"/>
      <c r="AC18" s="834"/>
      <c r="AD18" s="2">
        <v>1</v>
      </c>
    </row>
    <row r="19" spans="1:30" s="2" customFormat="1" x14ac:dyDescent="0.3">
      <c r="A19" s="826"/>
      <c r="B19" s="828"/>
      <c r="C19" s="828"/>
      <c r="D19" s="828"/>
      <c r="E19" s="828"/>
      <c r="F19" s="828"/>
      <c r="G19" s="830"/>
      <c r="H19" s="832"/>
      <c r="I19" s="830"/>
      <c r="J19" s="830"/>
      <c r="K19" s="828"/>
      <c r="L19" s="828"/>
      <c r="M19" s="828"/>
      <c r="N19" s="836"/>
      <c r="O19" s="828"/>
      <c r="P19" s="828"/>
      <c r="Q19" s="830"/>
      <c r="R19" s="832"/>
      <c r="S19" s="828"/>
      <c r="T19" s="256">
        <v>45064</v>
      </c>
      <c r="U19" s="828"/>
      <c r="V19" s="253">
        <v>2041.75</v>
      </c>
      <c r="W19" s="256">
        <v>45070</v>
      </c>
      <c r="X19" s="254"/>
      <c r="Y19" s="253"/>
      <c r="Z19" s="253"/>
      <c r="AA19" s="828"/>
      <c r="AB19" s="830"/>
      <c r="AC19" s="834"/>
      <c r="AD19" s="2">
        <v>1</v>
      </c>
    </row>
    <row r="20" spans="1:30" s="2" customFormat="1" x14ac:dyDescent="0.3">
      <c r="A20" s="826"/>
      <c r="B20" s="828"/>
      <c r="C20" s="828"/>
      <c r="D20" s="828"/>
      <c r="E20" s="828"/>
      <c r="F20" s="828"/>
      <c r="G20" s="830"/>
      <c r="H20" s="832"/>
      <c r="I20" s="830"/>
      <c r="J20" s="830"/>
      <c r="K20" s="828"/>
      <c r="L20" s="828"/>
      <c r="M20" s="828"/>
      <c r="N20" s="836"/>
      <c r="O20" s="828"/>
      <c r="P20" s="828"/>
      <c r="Q20" s="830"/>
      <c r="R20" s="832"/>
      <c r="S20" s="828"/>
      <c r="T20" s="256">
        <v>45079</v>
      </c>
      <c r="U20" s="828"/>
      <c r="V20" s="253">
        <v>29287.41</v>
      </c>
      <c r="W20" s="256">
        <v>45075</v>
      </c>
      <c r="X20" s="254"/>
      <c r="Y20" s="253"/>
      <c r="Z20" s="253"/>
      <c r="AA20" s="828"/>
      <c r="AB20" s="830"/>
      <c r="AC20" s="834"/>
      <c r="AD20" s="2">
        <v>1</v>
      </c>
    </row>
    <row r="21" spans="1:30" s="2" customFormat="1" x14ac:dyDescent="0.3">
      <c r="A21" s="826"/>
      <c r="B21" s="828"/>
      <c r="C21" s="828"/>
      <c r="D21" s="828"/>
      <c r="E21" s="828"/>
      <c r="F21" s="828"/>
      <c r="G21" s="830"/>
      <c r="H21" s="832"/>
      <c r="I21" s="830"/>
      <c r="J21" s="830"/>
      <c r="K21" s="828"/>
      <c r="L21" s="828"/>
      <c r="M21" s="828"/>
      <c r="N21" s="836"/>
      <c r="O21" s="828"/>
      <c r="P21" s="828"/>
      <c r="Q21" s="830"/>
      <c r="R21" s="832"/>
      <c r="S21" s="828"/>
      <c r="T21" s="256">
        <v>45079</v>
      </c>
      <c r="U21" s="828"/>
      <c r="V21" s="253">
        <v>1869.45</v>
      </c>
      <c r="W21" s="256">
        <v>45075</v>
      </c>
      <c r="X21" s="254"/>
      <c r="Y21" s="253"/>
      <c r="Z21" s="253"/>
      <c r="AA21" s="828"/>
      <c r="AB21" s="830"/>
      <c r="AC21" s="834"/>
      <c r="AD21" s="2">
        <v>1</v>
      </c>
    </row>
    <row r="22" spans="1:30" s="2" customFormat="1" x14ac:dyDescent="0.3">
      <c r="A22" s="826"/>
      <c r="B22" s="828"/>
      <c r="C22" s="828"/>
      <c r="D22" s="828"/>
      <c r="E22" s="828"/>
      <c r="F22" s="828"/>
      <c r="G22" s="830"/>
      <c r="H22" s="832"/>
      <c r="I22" s="830"/>
      <c r="J22" s="830"/>
      <c r="K22" s="828"/>
      <c r="L22" s="828"/>
      <c r="M22" s="828"/>
      <c r="N22" s="836"/>
      <c r="O22" s="828"/>
      <c r="P22" s="828"/>
      <c r="Q22" s="830"/>
      <c r="R22" s="832"/>
      <c r="S22" s="828"/>
      <c r="T22" s="256">
        <v>45079</v>
      </c>
      <c r="U22" s="828"/>
      <c r="V22" s="253">
        <v>10850</v>
      </c>
      <c r="W22" s="256">
        <v>45075</v>
      </c>
      <c r="X22" s="254"/>
      <c r="Y22" s="253"/>
      <c r="Z22" s="253"/>
      <c r="AA22" s="828"/>
      <c r="AB22" s="830"/>
      <c r="AC22" s="834"/>
      <c r="AD22" s="2">
        <v>1</v>
      </c>
    </row>
    <row r="23" spans="1:30" s="2" customFormat="1" x14ac:dyDescent="0.3">
      <c r="A23" s="826"/>
      <c r="B23" s="828"/>
      <c r="C23" s="828"/>
      <c r="D23" s="828"/>
      <c r="E23" s="828"/>
      <c r="F23" s="828"/>
      <c r="G23" s="830"/>
      <c r="H23" s="832"/>
      <c r="I23" s="830"/>
      <c r="J23" s="830"/>
      <c r="K23" s="828"/>
      <c r="L23" s="828"/>
      <c r="M23" s="828"/>
      <c r="N23" s="836"/>
      <c r="O23" s="828"/>
      <c r="P23" s="828"/>
      <c r="Q23" s="830"/>
      <c r="R23" s="832"/>
      <c r="S23" s="828"/>
      <c r="T23" s="256">
        <v>45079</v>
      </c>
      <c r="U23" s="828"/>
      <c r="V23" s="253">
        <v>5925</v>
      </c>
      <c r="W23" s="256">
        <v>45072</v>
      </c>
      <c r="X23" s="254"/>
      <c r="Y23" s="253"/>
      <c r="Z23" s="253"/>
      <c r="AA23" s="828"/>
      <c r="AB23" s="830"/>
      <c r="AC23" s="834"/>
      <c r="AD23" s="2">
        <v>1</v>
      </c>
    </row>
    <row r="24" spans="1:30" s="2" customFormat="1" x14ac:dyDescent="0.3">
      <c r="A24" s="826"/>
      <c r="B24" s="828"/>
      <c r="C24" s="828"/>
      <c r="D24" s="828"/>
      <c r="E24" s="828"/>
      <c r="F24" s="828"/>
      <c r="G24" s="830"/>
      <c r="H24" s="832"/>
      <c r="I24" s="830"/>
      <c r="J24" s="830"/>
      <c r="K24" s="828"/>
      <c r="L24" s="828"/>
      <c r="M24" s="828"/>
      <c r="N24" s="836"/>
      <c r="O24" s="828"/>
      <c r="P24" s="828"/>
      <c r="Q24" s="830"/>
      <c r="R24" s="832"/>
      <c r="S24" s="828"/>
      <c r="T24" s="256">
        <v>45079</v>
      </c>
      <c r="U24" s="828"/>
      <c r="V24" s="253">
        <v>700</v>
      </c>
      <c r="W24" s="256">
        <v>45072</v>
      </c>
      <c r="X24" s="254"/>
      <c r="Y24" s="253"/>
      <c r="Z24" s="253"/>
      <c r="AA24" s="828"/>
      <c r="AB24" s="830"/>
      <c r="AC24" s="834"/>
      <c r="AD24" s="2">
        <v>1</v>
      </c>
    </row>
    <row r="25" spans="1:30" s="2" customFormat="1" x14ac:dyDescent="0.3">
      <c r="A25" s="826"/>
      <c r="B25" s="828"/>
      <c r="C25" s="828"/>
      <c r="D25" s="828"/>
      <c r="E25" s="828"/>
      <c r="F25" s="828"/>
      <c r="G25" s="830"/>
      <c r="H25" s="832"/>
      <c r="I25" s="830"/>
      <c r="J25" s="830"/>
      <c r="K25" s="828"/>
      <c r="L25" s="828"/>
      <c r="M25" s="828"/>
      <c r="N25" s="836"/>
      <c r="O25" s="828"/>
      <c r="P25" s="828"/>
      <c r="Q25" s="830"/>
      <c r="R25" s="832"/>
      <c r="S25" s="828"/>
      <c r="T25" s="256">
        <v>45079</v>
      </c>
      <c r="U25" s="828"/>
      <c r="V25" s="253">
        <v>23700</v>
      </c>
      <c r="W25" s="256">
        <v>45072</v>
      </c>
      <c r="X25" s="254"/>
      <c r="Y25" s="253"/>
      <c r="Z25" s="253"/>
      <c r="AA25" s="828"/>
      <c r="AB25" s="830"/>
      <c r="AC25" s="834"/>
      <c r="AD25" s="2">
        <v>1</v>
      </c>
    </row>
    <row r="26" spans="1:30" s="2" customFormat="1" x14ac:dyDescent="0.3">
      <c r="A26" s="826"/>
      <c r="B26" s="828"/>
      <c r="C26" s="828"/>
      <c r="D26" s="828"/>
      <c r="E26" s="828"/>
      <c r="F26" s="828"/>
      <c r="G26" s="830"/>
      <c r="H26" s="832"/>
      <c r="I26" s="830"/>
      <c r="J26" s="830"/>
      <c r="K26" s="828"/>
      <c r="L26" s="828"/>
      <c r="M26" s="828"/>
      <c r="N26" s="836"/>
      <c r="O26" s="828"/>
      <c r="P26" s="828"/>
      <c r="Q26" s="830"/>
      <c r="R26" s="832"/>
      <c r="S26" s="828"/>
      <c r="T26" s="256">
        <v>45079</v>
      </c>
      <c r="U26" s="828"/>
      <c r="V26" s="253">
        <v>2499.16</v>
      </c>
      <c r="W26" s="256">
        <v>45072</v>
      </c>
      <c r="X26" s="254"/>
      <c r="Y26" s="253"/>
      <c r="Z26" s="253"/>
      <c r="AA26" s="828"/>
      <c r="AB26" s="830"/>
      <c r="AC26" s="834"/>
      <c r="AD26" s="2">
        <v>1</v>
      </c>
    </row>
    <row r="27" spans="1:30" s="2" customFormat="1" x14ac:dyDescent="0.3">
      <c r="A27" s="826"/>
      <c r="B27" s="828"/>
      <c r="C27" s="828"/>
      <c r="D27" s="828"/>
      <c r="E27" s="828"/>
      <c r="F27" s="828"/>
      <c r="G27" s="830"/>
      <c r="H27" s="832"/>
      <c r="I27" s="830"/>
      <c r="J27" s="830"/>
      <c r="K27" s="828"/>
      <c r="L27" s="828"/>
      <c r="M27" s="828"/>
      <c r="N27" s="836"/>
      <c r="O27" s="828"/>
      <c r="P27" s="828"/>
      <c r="Q27" s="830"/>
      <c r="R27" s="832"/>
      <c r="S27" s="828"/>
      <c r="T27" s="256">
        <v>45079</v>
      </c>
      <c r="U27" s="828"/>
      <c r="V27" s="253">
        <v>11303.4</v>
      </c>
      <c r="W27" s="256">
        <v>45072</v>
      </c>
      <c r="X27" s="254"/>
      <c r="Y27" s="253"/>
      <c r="Z27" s="253"/>
      <c r="AA27" s="828"/>
      <c r="AB27" s="830"/>
      <c r="AC27" s="834"/>
      <c r="AD27" s="2">
        <v>1</v>
      </c>
    </row>
    <row r="28" spans="1:30" s="2" customFormat="1" x14ac:dyDescent="0.3">
      <c r="A28" s="826"/>
      <c r="B28" s="828"/>
      <c r="C28" s="828"/>
      <c r="D28" s="828"/>
      <c r="E28" s="828"/>
      <c r="F28" s="828"/>
      <c r="G28" s="830"/>
      <c r="H28" s="832"/>
      <c r="I28" s="830"/>
      <c r="J28" s="830"/>
      <c r="K28" s="828"/>
      <c r="L28" s="828"/>
      <c r="M28" s="828"/>
      <c r="N28" s="836"/>
      <c r="O28" s="828"/>
      <c r="P28" s="828"/>
      <c r="Q28" s="830"/>
      <c r="R28" s="832"/>
      <c r="S28" s="828"/>
      <c r="T28" s="256">
        <v>45079</v>
      </c>
      <c r="U28" s="828"/>
      <c r="V28" s="253">
        <v>9248.23</v>
      </c>
      <c r="W28" s="256">
        <v>45072</v>
      </c>
      <c r="X28" s="254"/>
      <c r="Y28" s="253"/>
      <c r="Z28" s="253"/>
      <c r="AA28" s="828"/>
      <c r="AB28" s="830"/>
      <c r="AC28" s="834"/>
      <c r="AD28" s="2">
        <v>1</v>
      </c>
    </row>
    <row r="29" spans="1:30" s="2" customFormat="1" x14ac:dyDescent="0.3">
      <c r="A29" s="826"/>
      <c r="B29" s="828"/>
      <c r="C29" s="828"/>
      <c r="D29" s="828"/>
      <c r="E29" s="828"/>
      <c r="F29" s="828"/>
      <c r="G29" s="830"/>
      <c r="H29" s="832"/>
      <c r="I29" s="830"/>
      <c r="J29" s="830"/>
      <c r="K29" s="828"/>
      <c r="L29" s="828"/>
      <c r="M29" s="828"/>
      <c r="N29" s="836"/>
      <c r="O29" s="828"/>
      <c r="P29" s="828"/>
      <c r="Q29" s="830"/>
      <c r="R29" s="832"/>
      <c r="S29" s="828"/>
      <c r="T29" s="256">
        <v>45079</v>
      </c>
      <c r="U29" s="828"/>
      <c r="V29" s="253">
        <v>64116</v>
      </c>
      <c r="W29" s="256">
        <v>45076</v>
      </c>
      <c r="X29" s="254"/>
      <c r="Y29" s="253"/>
      <c r="Z29" s="253"/>
      <c r="AA29" s="828"/>
      <c r="AB29" s="830"/>
      <c r="AC29" s="834"/>
      <c r="AD29" s="2">
        <v>1</v>
      </c>
    </row>
    <row r="30" spans="1:30" s="2" customFormat="1" x14ac:dyDescent="0.3">
      <c r="A30" s="826"/>
      <c r="B30" s="828"/>
      <c r="C30" s="828"/>
      <c r="D30" s="828"/>
      <c r="E30" s="828"/>
      <c r="F30" s="828"/>
      <c r="G30" s="830"/>
      <c r="H30" s="832"/>
      <c r="I30" s="830"/>
      <c r="J30" s="830"/>
      <c r="K30" s="828"/>
      <c r="L30" s="828"/>
      <c r="M30" s="828"/>
      <c r="N30" s="836"/>
      <c r="O30" s="828"/>
      <c r="P30" s="828"/>
      <c r="Q30" s="830"/>
      <c r="R30" s="832"/>
      <c r="S30" s="828"/>
      <c r="T30" s="256">
        <v>45079</v>
      </c>
      <c r="U30" s="828"/>
      <c r="V30" s="253">
        <v>4092.6</v>
      </c>
      <c r="W30" s="256">
        <v>45076</v>
      </c>
      <c r="X30" s="254"/>
      <c r="Y30" s="253"/>
      <c r="Z30" s="253"/>
      <c r="AA30" s="828"/>
      <c r="AB30" s="830"/>
      <c r="AC30" s="834"/>
      <c r="AD30" s="2">
        <v>1</v>
      </c>
    </row>
    <row r="31" spans="1:30" x14ac:dyDescent="0.3">
      <c r="A31" s="14"/>
      <c r="B31" s="14"/>
      <c r="C31" s="14"/>
      <c r="D31" s="14"/>
      <c r="E31" s="14"/>
      <c r="F31" s="14"/>
      <c r="G31" s="15"/>
      <c r="H31" s="16"/>
      <c r="I31" s="105"/>
      <c r="J31" s="105"/>
      <c r="K31" s="14"/>
      <c r="L31" s="14"/>
      <c r="M31" s="14"/>
      <c r="N31" s="29"/>
      <c r="O31" s="14"/>
      <c r="P31" s="14"/>
      <c r="Q31" s="15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8">
        <v>2</v>
      </c>
    </row>
  </sheetData>
  <sheetProtection password="EB34" sheet="1" objects="1" scenarios="1" formatCells="0" formatColumns="0" formatRows="0"/>
  <mergeCells count="27">
    <mergeCell ref="AB9:AB30"/>
    <mergeCell ref="C9:C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E2:F2"/>
    <mergeCell ref="O2:P2"/>
    <mergeCell ref="Y2:AA2"/>
    <mergeCell ref="T2:U2"/>
    <mergeCell ref="A9:A30"/>
    <mergeCell ref="U9:U30"/>
    <mergeCell ref="O9:O30"/>
    <mergeCell ref="P9:P30"/>
    <mergeCell ref="Q9:Q30"/>
    <mergeCell ref="R9:R30"/>
    <mergeCell ref="S9:S30"/>
    <mergeCell ref="AA9:AA30"/>
    <mergeCell ref="B9:B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48"/>
  <sheetViews>
    <sheetView showGridLines="0" topLeftCell="K1" zoomScale="50" zoomScaleNormal="50" workbookViewId="0">
      <pane ySplit="8" topLeftCell="A27" activePane="bottomLeft" state="frozen"/>
      <selection pane="bottomLeft" activeCell="T37" sqref="T37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668" t="s">
        <v>139</v>
      </c>
      <c r="F2" s="669"/>
      <c r="G2" s="100">
        <f>SUM(G9:G10018)</f>
        <v>1786928.62</v>
      </c>
      <c r="H2" s="15"/>
      <c r="O2" s="668" t="s">
        <v>24</v>
      </c>
      <c r="P2" s="669"/>
      <c r="Q2" s="98">
        <f>SUM(Q9:Q10018)</f>
        <v>1727500.78</v>
      </c>
      <c r="T2" s="523" t="s">
        <v>137</v>
      </c>
      <c r="U2" s="525"/>
      <c r="V2" s="87">
        <f>SUM(V9:V10018)</f>
        <v>956946.29999999993</v>
      </c>
      <c r="X2" s="86"/>
      <c r="Y2" s="523" t="s">
        <v>45</v>
      </c>
      <c r="Z2" s="524"/>
      <c r="AA2" s="525"/>
      <c r="AB2" s="88">
        <f>SUM(AB9:AB10018)</f>
        <v>0</v>
      </c>
    </row>
    <row r="4" spans="1:33" ht="39.9" customHeight="1" x14ac:dyDescent="0.3">
      <c r="P4" s="843"/>
      <c r="Q4" s="843"/>
      <c r="R4" s="843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8" customFormat="1" ht="168.75" customHeight="1" x14ac:dyDescent="0.3">
      <c r="A9" s="449">
        <v>1</v>
      </c>
      <c r="B9" s="431"/>
      <c r="C9" s="431" t="s">
        <v>226</v>
      </c>
      <c r="D9" s="431" t="s">
        <v>147</v>
      </c>
      <c r="E9" s="431" t="s">
        <v>228</v>
      </c>
      <c r="F9" s="431" t="s">
        <v>148</v>
      </c>
      <c r="G9" s="440">
        <v>742848</v>
      </c>
      <c r="H9" s="443">
        <f>IF(AD9 = 1, G9 - Q9,0)</f>
        <v>59427.839999999967</v>
      </c>
      <c r="I9" s="440">
        <v>3</v>
      </c>
      <c r="J9" s="440">
        <v>0</v>
      </c>
      <c r="K9" s="431" t="s">
        <v>179</v>
      </c>
      <c r="L9" s="431"/>
      <c r="M9" s="431" t="s">
        <v>227</v>
      </c>
      <c r="N9" s="437">
        <v>44915</v>
      </c>
      <c r="O9" s="434">
        <v>2304067057</v>
      </c>
      <c r="P9" s="431" t="s">
        <v>177</v>
      </c>
      <c r="Q9" s="440">
        <v>683420.16000000003</v>
      </c>
      <c r="R9" s="443">
        <f>IF(AD9 = 1, Q9 + SUM(Y9:Y17) - SUM(Z9:Z17) - SUM(V9:V17) - AB9,0)</f>
        <v>44469.119999999995</v>
      </c>
      <c r="S9" s="455"/>
      <c r="T9" s="369">
        <v>44957</v>
      </c>
      <c r="U9" s="431" t="s">
        <v>181</v>
      </c>
      <c r="V9" s="360">
        <v>72554.880000000005</v>
      </c>
      <c r="W9" s="369">
        <v>44965</v>
      </c>
      <c r="X9" s="362"/>
      <c r="Y9" s="360"/>
      <c r="Z9" s="360"/>
      <c r="AA9" s="431"/>
      <c r="AB9" s="440"/>
      <c r="AC9" s="455"/>
      <c r="AD9" s="108">
        <v>1</v>
      </c>
    </row>
    <row r="10" spans="1:33" s="2" customFormat="1" x14ac:dyDescent="0.3">
      <c r="A10" s="450"/>
      <c r="B10" s="432"/>
      <c r="C10" s="432"/>
      <c r="D10" s="432"/>
      <c r="E10" s="432"/>
      <c r="F10" s="432"/>
      <c r="G10" s="441"/>
      <c r="H10" s="444"/>
      <c r="I10" s="441"/>
      <c r="J10" s="441"/>
      <c r="K10" s="432"/>
      <c r="L10" s="432"/>
      <c r="M10" s="432"/>
      <c r="N10" s="438"/>
      <c r="O10" s="435"/>
      <c r="P10" s="432"/>
      <c r="Q10" s="441"/>
      <c r="R10" s="444"/>
      <c r="S10" s="456"/>
      <c r="T10" s="370">
        <v>44987</v>
      </c>
      <c r="U10" s="432"/>
      <c r="V10" s="363">
        <v>65533.440000000002</v>
      </c>
      <c r="W10" s="370">
        <v>44995</v>
      </c>
      <c r="X10" s="365"/>
      <c r="Y10" s="363"/>
      <c r="Z10" s="363"/>
      <c r="AA10" s="432"/>
      <c r="AB10" s="441"/>
      <c r="AC10" s="456"/>
      <c r="AD10" s="2">
        <v>1</v>
      </c>
    </row>
    <row r="11" spans="1:33" s="2" customFormat="1" x14ac:dyDescent="0.3">
      <c r="A11" s="450"/>
      <c r="B11" s="432"/>
      <c r="C11" s="432"/>
      <c r="D11" s="432"/>
      <c r="E11" s="432"/>
      <c r="F11" s="432"/>
      <c r="G11" s="441"/>
      <c r="H11" s="444"/>
      <c r="I11" s="441"/>
      <c r="J11" s="441"/>
      <c r="K11" s="432"/>
      <c r="L11" s="432"/>
      <c r="M11" s="432"/>
      <c r="N11" s="438"/>
      <c r="O11" s="435"/>
      <c r="P11" s="432"/>
      <c r="Q11" s="441"/>
      <c r="R11" s="444"/>
      <c r="S11" s="456"/>
      <c r="T11" s="370">
        <v>45020</v>
      </c>
      <c r="U11" s="432"/>
      <c r="V11" s="363">
        <v>72554.880000000005</v>
      </c>
      <c r="W11" s="370">
        <v>45022</v>
      </c>
      <c r="X11" s="365"/>
      <c r="Y11" s="363"/>
      <c r="Z11" s="363"/>
      <c r="AA11" s="432"/>
      <c r="AB11" s="441"/>
      <c r="AC11" s="456"/>
      <c r="AD11" s="2">
        <v>1</v>
      </c>
    </row>
    <row r="12" spans="1:33" s="2" customFormat="1" x14ac:dyDescent="0.3">
      <c r="A12" s="450"/>
      <c r="B12" s="432"/>
      <c r="C12" s="432"/>
      <c r="D12" s="432"/>
      <c r="E12" s="432"/>
      <c r="F12" s="432"/>
      <c r="G12" s="441"/>
      <c r="H12" s="444"/>
      <c r="I12" s="441"/>
      <c r="J12" s="441"/>
      <c r="K12" s="432"/>
      <c r="L12" s="432"/>
      <c r="M12" s="432"/>
      <c r="N12" s="438"/>
      <c r="O12" s="435"/>
      <c r="P12" s="432"/>
      <c r="Q12" s="441"/>
      <c r="R12" s="444"/>
      <c r="S12" s="456"/>
      <c r="T12" s="370">
        <v>45049</v>
      </c>
      <c r="U12" s="432"/>
      <c r="V12" s="363">
        <v>70214.399999999994</v>
      </c>
      <c r="W12" s="370">
        <v>45051</v>
      </c>
      <c r="X12" s="365"/>
      <c r="Y12" s="363"/>
      <c r="Z12" s="363"/>
      <c r="AA12" s="432"/>
      <c r="AB12" s="441"/>
      <c r="AC12" s="456"/>
      <c r="AD12" s="2">
        <v>1</v>
      </c>
    </row>
    <row r="13" spans="1:33" s="2" customFormat="1" x14ac:dyDescent="0.3">
      <c r="A13" s="450"/>
      <c r="B13" s="432"/>
      <c r="C13" s="432"/>
      <c r="D13" s="432"/>
      <c r="E13" s="432"/>
      <c r="F13" s="432"/>
      <c r="G13" s="441"/>
      <c r="H13" s="444"/>
      <c r="I13" s="441"/>
      <c r="J13" s="441"/>
      <c r="K13" s="432"/>
      <c r="L13" s="432"/>
      <c r="M13" s="432"/>
      <c r="N13" s="438"/>
      <c r="O13" s="435"/>
      <c r="P13" s="432"/>
      <c r="Q13" s="441"/>
      <c r="R13" s="444"/>
      <c r="S13" s="456"/>
      <c r="T13" s="370">
        <v>45110</v>
      </c>
      <c r="U13" s="432"/>
      <c r="V13" s="363">
        <v>70214.399999999994</v>
      </c>
      <c r="W13" s="370">
        <v>45113</v>
      </c>
      <c r="X13" s="365"/>
      <c r="Y13" s="363"/>
      <c r="Z13" s="363"/>
      <c r="AA13" s="432"/>
      <c r="AB13" s="441"/>
      <c r="AC13" s="456"/>
      <c r="AD13" s="2">
        <v>1</v>
      </c>
    </row>
    <row r="14" spans="1:33" s="2" customFormat="1" x14ac:dyDescent="0.3">
      <c r="A14" s="450"/>
      <c r="B14" s="432"/>
      <c r="C14" s="432"/>
      <c r="D14" s="432"/>
      <c r="E14" s="432"/>
      <c r="F14" s="432"/>
      <c r="G14" s="441"/>
      <c r="H14" s="444"/>
      <c r="I14" s="441"/>
      <c r="J14" s="441"/>
      <c r="K14" s="432"/>
      <c r="L14" s="432"/>
      <c r="M14" s="432"/>
      <c r="N14" s="438"/>
      <c r="O14" s="435"/>
      <c r="P14" s="432"/>
      <c r="Q14" s="441"/>
      <c r="R14" s="444"/>
      <c r="S14" s="456"/>
      <c r="T14" s="370">
        <v>45082</v>
      </c>
      <c r="U14" s="432"/>
      <c r="V14" s="363">
        <v>72554.880000000005</v>
      </c>
      <c r="W14" s="370">
        <v>45082</v>
      </c>
      <c r="X14" s="365"/>
      <c r="Y14" s="363"/>
      <c r="Z14" s="363"/>
      <c r="AA14" s="432"/>
      <c r="AB14" s="441"/>
      <c r="AC14" s="456"/>
      <c r="AD14" s="2">
        <v>1</v>
      </c>
    </row>
    <row r="15" spans="1:33" s="2" customFormat="1" x14ac:dyDescent="0.3">
      <c r="A15" s="450"/>
      <c r="B15" s="432"/>
      <c r="C15" s="432"/>
      <c r="D15" s="432"/>
      <c r="E15" s="432"/>
      <c r="F15" s="432"/>
      <c r="G15" s="441"/>
      <c r="H15" s="444"/>
      <c r="I15" s="441"/>
      <c r="J15" s="441"/>
      <c r="K15" s="432"/>
      <c r="L15" s="432"/>
      <c r="M15" s="432"/>
      <c r="N15" s="438"/>
      <c r="O15" s="435"/>
      <c r="P15" s="432"/>
      <c r="Q15" s="441"/>
      <c r="R15" s="444"/>
      <c r="S15" s="456"/>
      <c r="T15" s="370">
        <v>45140</v>
      </c>
      <c r="U15" s="432"/>
      <c r="V15" s="363">
        <v>72554.880000000005</v>
      </c>
      <c r="W15" s="370">
        <v>45145</v>
      </c>
      <c r="X15" s="365"/>
      <c r="Y15" s="363"/>
      <c r="Z15" s="363"/>
      <c r="AA15" s="432"/>
      <c r="AB15" s="441"/>
      <c r="AC15" s="456"/>
      <c r="AD15" s="2">
        <v>1</v>
      </c>
    </row>
    <row r="16" spans="1:33" s="2" customFormat="1" x14ac:dyDescent="0.3">
      <c r="A16" s="450"/>
      <c r="B16" s="432"/>
      <c r="C16" s="432"/>
      <c r="D16" s="432"/>
      <c r="E16" s="432"/>
      <c r="F16" s="432"/>
      <c r="G16" s="441"/>
      <c r="H16" s="444"/>
      <c r="I16" s="441"/>
      <c r="J16" s="441"/>
      <c r="K16" s="432"/>
      <c r="L16" s="432"/>
      <c r="M16" s="432"/>
      <c r="N16" s="438"/>
      <c r="O16" s="435"/>
      <c r="P16" s="432"/>
      <c r="Q16" s="441"/>
      <c r="R16" s="444"/>
      <c r="S16" s="456"/>
      <c r="T16" s="370">
        <v>45172</v>
      </c>
      <c r="U16" s="432"/>
      <c r="V16" s="363">
        <v>72554.880000000005</v>
      </c>
      <c r="W16" s="370">
        <v>45176</v>
      </c>
      <c r="X16" s="365"/>
      <c r="Y16" s="363"/>
      <c r="Z16" s="363"/>
      <c r="AA16" s="432"/>
      <c r="AB16" s="441"/>
      <c r="AC16" s="456"/>
      <c r="AD16" s="2">
        <v>1</v>
      </c>
    </row>
    <row r="17" spans="1:30" s="2" customFormat="1" x14ac:dyDescent="0.3">
      <c r="A17" s="451"/>
      <c r="B17" s="433"/>
      <c r="C17" s="433"/>
      <c r="D17" s="433"/>
      <c r="E17" s="433"/>
      <c r="F17" s="433"/>
      <c r="G17" s="442"/>
      <c r="H17" s="445"/>
      <c r="I17" s="442"/>
      <c r="J17" s="442"/>
      <c r="K17" s="433"/>
      <c r="L17" s="433"/>
      <c r="M17" s="433"/>
      <c r="N17" s="439"/>
      <c r="O17" s="436"/>
      <c r="P17" s="433"/>
      <c r="Q17" s="442"/>
      <c r="R17" s="445"/>
      <c r="S17" s="457"/>
      <c r="T17" s="371">
        <v>45202</v>
      </c>
      <c r="U17" s="433"/>
      <c r="V17" s="366">
        <v>70214.399999999994</v>
      </c>
      <c r="W17" s="371">
        <v>45204</v>
      </c>
      <c r="X17" s="368"/>
      <c r="Y17" s="366"/>
      <c r="Z17" s="366"/>
      <c r="AA17" s="433"/>
      <c r="AB17" s="442"/>
      <c r="AC17" s="457"/>
      <c r="AD17" s="2">
        <v>1</v>
      </c>
    </row>
    <row r="18" spans="1:30" s="108" customFormat="1" ht="168.75" customHeight="1" x14ac:dyDescent="0.3">
      <c r="A18" s="807">
        <v>2</v>
      </c>
      <c r="B18" s="804"/>
      <c r="C18" s="804" t="s">
        <v>373</v>
      </c>
      <c r="D18" s="804" t="s">
        <v>147</v>
      </c>
      <c r="E18" s="804" t="s">
        <v>374</v>
      </c>
      <c r="F18" s="804" t="s">
        <v>375</v>
      </c>
      <c r="G18" s="813">
        <v>1044080.62</v>
      </c>
      <c r="H18" s="801">
        <f>IF(AD18 = 2, G18 - Q18,0)</f>
        <v>0</v>
      </c>
      <c r="I18" s="813">
        <v>1</v>
      </c>
      <c r="J18" s="813"/>
      <c r="K18" s="804" t="s">
        <v>179</v>
      </c>
      <c r="L18" s="804" t="s">
        <v>376</v>
      </c>
      <c r="M18" s="804" t="s">
        <v>374</v>
      </c>
      <c r="N18" s="819">
        <v>45168</v>
      </c>
      <c r="O18" s="840">
        <v>2353020735</v>
      </c>
      <c r="P18" s="804" t="s">
        <v>282</v>
      </c>
      <c r="Q18" s="813">
        <v>1044080.62</v>
      </c>
      <c r="R18" s="801">
        <f>IF(AD18 = 2, Q18 + SUM(Y18:Y39) - SUM(Z18:Z39) - SUM(V18:V39) - AB18,0)</f>
        <v>726085.35999999987</v>
      </c>
      <c r="S18" s="816" t="s">
        <v>377</v>
      </c>
      <c r="T18" s="378">
        <v>45187</v>
      </c>
      <c r="U18" s="804" t="s">
        <v>181</v>
      </c>
      <c r="V18" s="372">
        <v>32746.59</v>
      </c>
      <c r="W18" s="378">
        <v>45191</v>
      </c>
      <c r="X18" s="373"/>
      <c r="Y18" s="372"/>
      <c r="Z18" s="372"/>
      <c r="AA18" s="804"/>
      <c r="AB18" s="813"/>
      <c r="AC18" s="837"/>
      <c r="AD18" s="108">
        <v>2</v>
      </c>
    </row>
    <row r="19" spans="1:30" s="2" customFormat="1" x14ac:dyDescent="0.3">
      <c r="A19" s="808"/>
      <c r="B19" s="805"/>
      <c r="C19" s="805"/>
      <c r="D19" s="805"/>
      <c r="E19" s="805"/>
      <c r="F19" s="805"/>
      <c r="G19" s="814"/>
      <c r="H19" s="802"/>
      <c r="I19" s="814"/>
      <c r="J19" s="814"/>
      <c r="K19" s="805"/>
      <c r="L19" s="805"/>
      <c r="M19" s="805"/>
      <c r="N19" s="820"/>
      <c r="O19" s="841"/>
      <c r="P19" s="805"/>
      <c r="Q19" s="814"/>
      <c r="R19" s="802"/>
      <c r="S19" s="817"/>
      <c r="T19" s="379">
        <v>45187</v>
      </c>
      <c r="U19" s="805"/>
      <c r="V19" s="374">
        <v>93493.22</v>
      </c>
      <c r="W19" s="379">
        <v>45191</v>
      </c>
      <c r="X19" s="375"/>
      <c r="Y19" s="374"/>
      <c r="Z19" s="374"/>
      <c r="AA19" s="805"/>
      <c r="AB19" s="814"/>
      <c r="AC19" s="838"/>
      <c r="AD19" s="2">
        <v>2</v>
      </c>
    </row>
    <row r="20" spans="1:30" s="2" customFormat="1" x14ac:dyDescent="0.3">
      <c r="A20" s="808"/>
      <c r="B20" s="805"/>
      <c r="C20" s="805"/>
      <c r="D20" s="805"/>
      <c r="E20" s="805"/>
      <c r="F20" s="805"/>
      <c r="G20" s="814"/>
      <c r="H20" s="802"/>
      <c r="I20" s="814"/>
      <c r="J20" s="814"/>
      <c r="K20" s="805"/>
      <c r="L20" s="805"/>
      <c r="M20" s="805"/>
      <c r="N20" s="820"/>
      <c r="O20" s="841"/>
      <c r="P20" s="805"/>
      <c r="Q20" s="814"/>
      <c r="R20" s="802"/>
      <c r="S20" s="817"/>
      <c r="T20" s="379">
        <v>45187</v>
      </c>
      <c r="U20" s="805"/>
      <c r="V20" s="374">
        <v>5967.78</v>
      </c>
      <c r="W20" s="379">
        <v>45191</v>
      </c>
      <c r="X20" s="375"/>
      <c r="Y20" s="374"/>
      <c r="Z20" s="374"/>
      <c r="AA20" s="805"/>
      <c r="AB20" s="814"/>
      <c r="AC20" s="838"/>
      <c r="AD20" s="2">
        <v>2</v>
      </c>
    </row>
    <row r="21" spans="1:30" s="2" customFormat="1" x14ac:dyDescent="0.3">
      <c r="A21" s="808"/>
      <c r="B21" s="805"/>
      <c r="C21" s="805"/>
      <c r="D21" s="805"/>
      <c r="E21" s="805"/>
      <c r="F21" s="805"/>
      <c r="G21" s="814"/>
      <c r="H21" s="802"/>
      <c r="I21" s="814"/>
      <c r="J21" s="814"/>
      <c r="K21" s="805"/>
      <c r="L21" s="805"/>
      <c r="M21" s="805"/>
      <c r="N21" s="820"/>
      <c r="O21" s="841"/>
      <c r="P21" s="805"/>
      <c r="Q21" s="814"/>
      <c r="R21" s="802"/>
      <c r="S21" s="817"/>
      <c r="T21" s="379">
        <v>45208</v>
      </c>
      <c r="U21" s="805"/>
      <c r="V21" s="374">
        <v>520.20000000000005</v>
      </c>
      <c r="W21" s="379">
        <v>45209</v>
      </c>
      <c r="X21" s="375"/>
      <c r="Y21" s="374"/>
      <c r="Z21" s="374"/>
      <c r="AA21" s="805"/>
      <c r="AB21" s="814"/>
      <c r="AC21" s="838"/>
      <c r="AD21" s="2">
        <v>2</v>
      </c>
    </row>
    <row r="22" spans="1:30" s="2" customFormat="1" x14ac:dyDescent="0.3">
      <c r="A22" s="808"/>
      <c r="B22" s="805"/>
      <c r="C22" s="805"/>
      <c r="D22" s="805"/>
      <c r="E22" s="805"/>
      <c r="F22" s="805"/>
      <c r="G22" s="814"/>
      <c r="H22" s="802"/>
      <c r="I22" s="814"/>
      <c r="J22" s="814"/>
      <c r="K22" s="805"/>
      <c r="L22" s="805"/>
      <c r="M22" s="805"/>
      <c r="N22" s="820"/>
      <c r="O22" s="841"/>
      <c r="P22" s="805"/>
      <c r="Q22" s="814"/>
      <c r="R22" s="802"/>
      <c r="S22" s="817"/>
      <c r="T22" s="379">
        <v>45205</v>
      </c>
      <c r="U22" s="805"/>
      <c r="V22" s="374">
        <v>1664.64</v>
      </c>
      <c r="W22" s="379">
        <v>45209</v>
      </c>
      <c r="X22" s="375"/>
      <c r="Y22" s="374"/>
      <c r="Z22" s="374"/>
      <c r="AA22" s="805"/>
      <c r="AB22" s="814"/>
      <c r="AC22" s="838"/>
      <c r="AD22" s="2">
        <v>2</v>
      </c>
    </row>
    <row r="23" spans="1:30" s="2" customFormat="1" x14ac:dyDescent="0.3">
      <c r="A23" s="808"/>
      <c r="B23" s="805"/>
      <c r="C23" s="805"/>
      <c r="D23" s="805"/>
      <c r="E23" s="805"/>
      <c r="F23" s="805"/>
      <c r="G23" s="814"/>
      <c r="H23" s="802"/>
      <c r="I23" s="814"/>
      <c r="J23" s="814"/>
      <c r="K23" s="805"/>
      <c r="L23" s="805"/>
      <c r="M23" s="805"/>
      <c r="N23" s="820"/>
      <c r="O23" s="841"/>
      <c r="P23" s="805"/>
      <c r="Q23" s="814"/>
      <c r="R23" s="802"/>
      <c r="S23" s="817"/>
      <c r="T23" s="379">
        <v>45203</v>
      </c>
      <c r="U23" s="805"/>
      <c r="V23" s="374">
        <v>29807.46</v>
      </c>
      <c r="W23" s="379">
        <v>45209</v>
      </c>
      <c r="X23" s="375"/>
      <c r="Y23" s="374"/>
      <c r="Z23" s="374"/>
      <c r="AA23" s="805"/>
      <c r="AB23" s="814"/>
      <c r="AC23" s="838"/>
      <c r="AD23" s="2">
        <v>2</v>
      </c>
    </row>
    <row r="24" spans="1:30" s="2" customFormat="1" x14ac:dyDescent="0.3">
      <c r="A24" s="808"/>
      <c r="B24" s="805"/>
      <c r="C24" s="805"/>
      <c r="D24" s="805"/>
      <c r="E24" s="805"/>
      <c r="F24" s="805"/>
      <c r="G24" s="814"/>
      <c r="H24" s="802"/>
      <c r="I24" s="814"/>
      <c r="J24" s="814"/>
      <c r="K24" s="805"/>
      <c r="L24" s="805"/>
      <c r="M24" s="805"/>
      <c r="N24" s="820"/>
      <c r="O24" s="841"/>
      <c r="P24" s="805"/>
      <c r="Q24" s="814"/>
      <c r="R24" s="802"/>
      <c r="S24" s="817"/>
      <c r="T24" s="379">
        <v>45203</v>
      </c>
      <c r="U24" s="805"/>
      <c r="V24" s="374">
        <v>85101.85</v>
      </c>
      <c r="W24" s="379">
        <v>45210</v>
      </c>
      <c r="X24" s="375"/>
      <c r="Y24" s="374"/>
      <c r="Z24" s="374"/>
      <c r="AA24" s="805"/>
      <c r="AB24" s="814"/>
      <c r="AC24" s="838"/>
      <c r="AD24" s="2">
        <v>2</v>
      </c>
    </row>
    <row r="25" spans="1:30" s="2" customFormat="1" x14ac:dyDescent="0.3">
      <c r="A25" s="808"/>
      <c r="B25" s="805"/>
      <c r="C25" s="805"/>
      <c r="D25" s="805"/>
      <c r="E25" s="805"/>
      <c r="F25" s="805"/>
      <c r="G25" s="814"/>
      <c r="H25" s="802"/>
      <c r="I25" s="814"/>
      <c r="J25" s="814"/>
      <c r="K25" s="805"/>
      <c r="L25" s="805"/>
      <c r="M25" s="805"/>
      <c r="N25" s="820"/>
      <c r="O25" s="841"/>
      <c r="P25" s="805"/>
      <c r="Q25" s="814"/>
      <c r="R25" s="802"/>
      <c r="S25" s="817"/>
      <c r="T25" s="379">
        <v>45203</v>
      </c>
      <c r="U25" s="805"/>
      <c r="V25" s="374">
        <v>5432.15</v>
      </c>
      <c r="W25" s="379">
        <v>45210</v>
      </c>
      <c r="X25" s="375"/>
      <c r="Y25" s="374"/>
      <c r="Z25" s="374"/>
      <c r="AA25" s="805"/>
      <c r="AB25" s="814"/>
      <c r="AC25" s="838"/>
      <c r="AD25" s="2">
        <v>2</v>
      </c>
    </row>
    <row r="26" spans="1:30" s="2" customFormat="1" x14ac:dyDescent="0.3">
      <c r="A26" s="808"/>
      <c r="B26" s="805"/>
      <c r="C26" s="805"/>
      <c r="D26" s="805"/>
      <c r="E26" s="805"/>
      <c r="F26" s="805"/>
      <c r="G26" s="814"/>
      <c r="H26" s="802"/>
      <c r="I26" s="814"/>
      <c r="J26" s="814"/>
      <c r="K26" s="805"/>
      <c r="L26" s="805"/>
      <c r="M26" s="805"/>
      <c r="N26" s="820"/>
      <c r="O26" s="841"/>
      <c r="P26" s="805"/>
      <c r="Q26" s="814"/>
      <c r="R26" s="802"/>
      <c r="S26" s="817"/>
      <c r="T26" s="379">
        <v>45208</v>
      </c>
      <c r="U26" s="805"/>
      <c r="V26" s="374">
        <v>1934.89</v>
      </c>
      <c r="W26" s="379">
        <v>45211</v>
      </c>
      <c r="X26" s="375"/>
      <c r="Y26" s="374"/>
      <c r="Z26" s="374"/>
      <c r="AA26" s="805"/>
      <c r="AB26" s="814"/>
      <c r="AC26" s="838"/>
      <c r="AD26" s="2">
        <v>2</v>
      </c>
    </row>
    <row r="27" spans="1:30" s="2" customFormat="1" x14ac:dyDescent="0.3">
      <c r="A27" s="808"/>
      <c r="B27" s="805"/>
      <c r="C27" s="805"/>
      <c r="D27" s="805"/>
      <c r="E27" s="805"/>
      <c r="F27" s="805"/>
      <c r="G27" s="814"/>
      <c r="H27" s="802"/>
      <c r="I27" s="814"/>
      <c r="J27" s="814"/>
      <c r="K27" s="805"/>
      <c r="L27" s="805"/>
      <c r="M27" s="805"/>
      <c r="N27" s="820"/>
      <c r="O27" s="841"/>
      <c r="P27" s="805"/>
      <c r="Q27" s="814"/>
      <c r="R27" s="802"/>
      <c r="S27" s="817"/>
      <c r="T27" s="379">
        <v>45208</v>
      </c>
      <c r="U27" s="805"/>
      <c r="V27" s="374">
        <v>123.51</v>
      </c>
      <c r="W27" s="379">
        <v>45211</v>
      </c>
      <c r="X27" s="375"/>
      <c r="Y27" s="374"/>
      <c r="Z27" s="374"/>
      <c r="AA27" s="805"/>
      <c r="AB27" s="814"/>
      <c r="AC27" s="838"/>
      <c r="AD27" s="2">
        <v>2</v>
      </c>
    </row>
    <row r="28" spans="1:30" s="2" customFormat="1" x14ac:dyDescent="0.3">
      <c r="A28" s="808"/>
      <c r="B28" s="805"/>
      <c r="C28" s="805"/>
      <c r="D28" s="805"/>
      <c r="E28" s="805"/>
      <c r="F28" s="805"/>
      <c r="G28" s="814"/>
      <c r="H28" s="802"/>
      <c r="I28" s="814"/>
      <c r="J28" s="814"/>
      <c r="K28" s="805"/>
      <c r="L28" s="805"/>
      <c r="M28" s="805"/>
      <c r="N28" s="820"/>
      <c r="O28" s="841"/>
      <c r="P28" s="805"/>
      <c r="Q28" s="814"/>
      <c r="R28" s="802"/>
      <c r="S28" s="817"/>
      <c r="T28" s="379">
        <v>45205</v>
      </c>
      <c r="U28" s="805"/>
      <c r="V28" s="374">
        <v>5518.08</v>
      </c>
      <c r="W28" s="379">
        <v>45212</v>
      </c>
      <c r="X28" s="375"/>
      <c r="Y28" s="374"/>
      <c r="Z28" s="374"/>
      <c r="AA28" s="805"/>
      <c r="AB28" s="814"/>
      <c r="AC28" s="838"/>
      <c r="AD28" s="2">
        <v>2</v>
      </c>
    </row>
    <row r="29" spans="1:30" s="2" customFormat="1" x14ac:dyDescent="0.3">
      <c r="A29" s="808"/>
      <c r="B29" s="805"/>
      <c r="C29" s="805"/>
      <c r="D29" s="805"/>
      <c r="E29" s="805"/>
      <c r="F29" s="805"/>
      <c r="G29" s="814"/>
      <c r="H29" s="802"/>
      <c r="I29" s="814"/>
      <c r="J29" s="814"/>
      <c r="K29" s="805"/>
      <c r="L29" s="805"/>
      <c r="M29" s="805"/>
      <c r="N29" s="820"/>
      <c r="O29" s="841"/>
      <c r="P29" s="805"/>
      <c r="Q29" s="814"/>
      <c r="R29" s="802"/>
      <c r="S29" s="817"/>
      <c r="T29" s="379">
        <v>45210</v>
      </c>
      <c r="U29" s="805"/>
      <c r="V29" s="374">
        <v>546.21</v>
      </c>
      <c r="W29" s="379">
        <v>45216</v>
      </c>
      <c r="X29" s="375"/>
      <c r="Y29" s="374"/>
      <c r="Z29" s="374"/>
      <c r="AA29" s="805"/>
      <c r="AB29" s="814"/>
      <c r="AC29" s="838"/>
      <c r="AD29" s="2">
        <v>2</v>
      </c>
    </row>
    <row r="30" spans="1:30" s="2" customFormat="1" x14ac:dyDescent="0.3">
      <c r="A30" s="808"/>
      <c r="B30" s="805"/>
      <c r="C30" s="805"/>
      <c r="D30" s="805"/>
      <c r="E30" s="805"/>
      <c r="F30" s="805"/>
      <c r="G30" s="814"/>
      <c r="H30" s="802"/>
      <c r="I30" s="814"/>
      <c r="J30" s="814"/>
      <c r="K30" s="805"/>
      <c r="L30" s="805"/>
      <c r="M30" s="805"/>
      <c r="N30" s="820"/>
      <c r="O30" s="841"/>
      <c r="P30" s="805"/>
      <c r="Q30" s="814"/>
      <c r="R30" s="802"/>
      <c r="S30" s="817"/>
      <c r="T30" s="379">
        <v>45209</v>
      </c>
      <c r="U30" s="805"/>
      <c r="V30" s="374">
        <v>9987.84</v>
      </c>
      <c r="W30" s="379">
        <v>45216</v>
      </c>
      <c r="X30" s="375"/>
      <c r="Y30" s="374"/>
      <c r="Z30" s="374"/>
      <c r="AA30" s="805"/>
      <c r="AB30" s="814"/>
      <c r="AC30" s="838"/>
      <c r="AD30" s="2">
        <v>2</v>
      </c>
    </row>
    <row r="31" spans="1:30" s="2" customFormat="1" x14ac:dyDescent="0.3">
      <c r="A31" s="808"/>
      <c r="B31" s="805"/>
      <c r="C31" s="805"/>
      <c r="D31" s="805"/>
      <c r="E31" s="805"/>
      <c r="F31" s="805"/>
      <c r="G31" s="814"/>
      <c r="H31" s="802"/>
      <c r="I31" s="814"/>
      <c r="J31" s="814"/>
      <c r="K31" s="805"/>
      <c r="L31" s="805"/>
      <c r="M31" s="805"/>
      <c r="N31" s="820"/>
      <c r="O31" s="841"/>
      <c r="P31" s="805"/>
      <c r="Q31" s="814"/>
      <c r="R31" s="802"/>
      <c r="S31" s="817"/>
      <c r="T31" s="379">
        <v>45210</v>
      </c>
      <c r="U31" s="805"/>
      <c r="V31" s="374">
        <v>1092.42</v>
      </c>
      <c r="W31" s="379">
        <v>45216</v>
      </c>
      <c r="X31" s="375"/>
      <c r="Y31" s="374"/>
      <c r="Z31" s="374"/>
      <c r="AA31" s="805"/>
      <c r="AB31" s="814"/>
      <c r="AC31" s="838"/>
      <c r="AD31" s="2">
        <v>2</v>
      </c>
    </row>
    <row r="32" spans="1:30" s="2" customFormat="1" x14ac:dyDescent="0.3">
      <c r="A32" s="808"/>
      <c r="B32" s="805"/>
      <c r="C32" s="805"/>
      <c r="D32" s="805"/>
      <c r="E32" s="805"/>
      <c r="F32" s="805"/>
      <c r="G32" s="814"/>
      <c r="H32" s="802"/>
      <c r="I32" s="814"/>
      <c r="J32" s="814"/>
      <c r="K32" s="805"/>
      <c r="L32" s="805"/>
      <c r="M32" s="805"/>
      <c r="N32" s="820"/>
      <c r="O32" s="841"/>
      <c r="P32" s="805"/>
      <c r="Q32" s="814"/>
      <c r="R32" s="802"/>
      <c r="S32" s="817"/>
      <c r="T32" s="379" t="s">
        <v>410</v>
      </c>
      <c r="U32" s="805"/>
      <c r="V32" s="374">
        <v>2031.64</v>
      </c>
      <c r="W32" s="379">
        <v>45216</v>
      </c>
      <c r="X32" s="375"/>
      <c r="Y32" s="374"/>
      <c r="Z32" s="374"/>
      <c r="AA32" s="805"/>
      <c r="AB32" s="814"/>
      <c r="AC32" s="838"/>
      <c r="AD32" s="2">
        <v>2</v>
      </c>
    </row>
    <row r="33" spans="1:30" s="2" customFormat="1" x14ac:dyDescent="0.3">
      <c r="A33" s="808"/>
      <c r="B33" s="805"/>
      <c r="C33" s="805"/>
      <c r="D33" s="805"/>
      <c r="E33" s="805"/>
      <c r="F33" s="805"/>
      <c r="G33" s="814"/>
      <c r="H33" s="802"/>
      <c r="I33" s="814"/>
      <c r="J33" s="814"/>
      <c r="K33" s="805"/>
      <c r="L33" s="805"/>
      <c r="M33" s="805"/>
      <c r="N33" s="820"/>
      <c r="O33" s="841"/>
      <c r="P33" s="805"/>
      <c r="Q33" s="814"/>
      <c r="R33" s="802"/>
      <c r="S33" s="817"/>
      <c r="T33" s="379">
        <v>45210</v>
      </c>
      <c r="U33" s="805"/>
      <c r="V33" s="374">
        <v>129.68</v>
      </c>
      <c r="W33" s="379">
        <v>45216</v>
      </c>
      <c r="X33" s="375"/>
      <c r="Y33" s="374"/>
      <c r="Z33" s="374"/>
      <c r="AA33" s="805"/>
      <c r="AB33" s="814"/>
      <c r="AC33" s="838"/>
      <c r="AD33" s="2">
        <v>2</v>
      </c>
    </row>
    <row r="34" spans="1:30" s="2" customFormat="1" x14ac:dyDescent="0.3">
      <c r="A34" s="808"/>
      <c r="B34" s="805"/>
      <c r="C34" s="805"/>
      <c r="D34" s="805"/>
      <c r="E34" s="805"/>
      <c r="F34" s="805"/>
      <c r="G34" s="814"/>
      <c r="H34" s="802"/>
      <c r="I34" s="814"/>
      <c r="J34" s="814"/>
      <c r="K34" s="805"/>
      <c r="L34" s="805"/>
      <c r="M34" s="805"/>
      <c r="N34" s="820"/>
      <c r="O34" s="841"/>
      <c r="P34" s="805"/>
      <c r="Q34" s="814"/>
      <c r="R34" s="802"/>
      <c r="S34" s="817"/>
      <c r="T34" s="379">
        <v>45209</v>
      </c>
      <c r="U34" s="805"/>
      <c r="V34" s="374">
        <v>20771.52</v>
      </c>
      <c r="W34" s="379">
        <v>45216</v>
      </c>
      <c r="X34" s="375"/>
      <c r="Y34" s="374"/>
      <c r="Z34" s="374"/>
      <c r="AA34" s="805"/>
      <c r="AB34" s="814"/>
      <c r="AC34" s="838"/>
      <c r="AD34" s="2">
        <v>2</v>
      </c>
    </row>
    <row r="35" spans="1:30" s="2" customFormat="1" x14ac:dyDescent="0.3">
      <c r="A35" s="808"/>
      <c r="B35" s="805"/>
      <c r="C35" s="805"/>
      <c r="D35" s="805"/>
      <c r="E35" s="805"/>
      <c r="F35" s="805"/>
      <c r="G35" s="814"/>
      <c r="H35" s="802"/>
      <c r="I35" s="814"/>
      <c r="J35" s="814"/>
      <c r="K35" s="805"/>
      <c r="L35" s="805"/>
      <c r="M35" s="805"/>
      <c r="N35" s="820"/>
      <c r="O35" s="841"/>
      <c r="P35" s="805"/>
      <c r="Q35" s="814"/>
      <c r="R35" s="802"/>
      <c r="S35" s="817"/>
      <c r="T35" s="379">
        <v>45209</v>
      </c>
      <c r="U35" s="805"/>
      <c r="V35" s="374">
        <v>16994.88</v>
      </c>
      <c r="W35" s="379">
        <v>45216</v>
      </c>
      <c r="X35" s="375"/>
      <c r="Y35" s="374"/>
      <c r="Z35" s="374"/>
      <c r="AA35" s="805"/>
      <c r="AB35" s="814"/>
      <c r="AC35" s="838"/>
      <c r="AD35" s="2">
        <v>2</v>
      </c>
    </row>
    <row r="36" spans="1:30" s="2" customFormat="1" x14ac:dyDescent="0.3">
      <c r="A36" s="808"/>
      <c r="B36" s="805"/>
      <c r="C36" s="805"/>
      <c r="D36" s="805"/>
      <c r="E36" s="805"/>
      <c r="F36" s="805"/>
      <c r="G36" s="814"/>
      <c r="H36" s="802"/>
      <c r="I36" s="814"/>
      <c r="J36" s="814"/>
      <c r="K36" s="805"/>
      <c r="L36" s="805"/>
      <c r="M36" s="805"/>
      <c r="N36" s="820"/>
      <c r="O36" s="841"/>
      <c r="P36" s="805"/>
      <c r="Q36" s="814"/>
      <c r="R36" s="802"/>
      <c r="S36" s="817"/>
      <c r="T36" s="379">
        <v>45209</v>
      </c>
      <c r="U36" s="805"/>
      <c r="V36" s="374">
        <v>4130.7</v>
      </c>
      <c r="W36" s="379">
        <v>45216</v>
      </c>
      <c r="X36" s="375"/>
      <c r="Y36" s="374"/>
      <c r="Z36" s="374"/>
      <c r="AA36" s="805"/>
      <c r="AB36" s="814"/>
      <c r="AC36" s="838"/>
      <c r="AD36" s="2">
        <v>2</v>
      </c>
    </row>
    <row r="37" spans="1:30" s="2" customFormat="1" x14ac:dyDescent="0.3">
      <c r="A37" s="808"/>
      <c r="B37" s="805"/>
      <c r="C37" s="805"/>
      <c r="D37" s="805"/>
      <c r="E37" s="805"/>
      <c r="F37" s="805"/>
      <c r="G37" s="814"/>
      <c r="H37" s="802"/>
      <c r="I37" s="814"/>
      <c r="J37" s="814"/>
      <c r="K37" s="805"/>
      <c r="L37" s="805"/>
      <c r="M37" s="805"/>
      <c r="N37" s="820"/>
      <c r="O37" s="841"/>
      <c r="P37" s="805"/>
      <c r="Q37" s="814"/>
      <c r="R37" s="802"/>
      <c r="S37" s="817"/>
      <c r="T37" s="379"/>
      <c r="U37" s="805"/>
      <c r="V37" s="374"/>
      <c r="W37" s="379"/>
      <c r="X37" s="375"/>
      <c r="Y37" s="374"/>
      <c r="Z37" s="374"/>
      <c r="AA37" s="805"/>
      <c r="AB37" s="814"/>
      <c r="AC37" s="838"/>
      <c r="AD37" s="2">
        <v>2</v>
      </c>
    </row>
    <row r="38" spans="1:30" s="2" customFormat="1" x14ac:dyDescent="0.3">
      <c r="A38" s="808"/>
      <c r="B38" s="805"/>
      <c r="C38" s="805"/>
      <c r="D38" s="805"/>
      <c r="E38" s="805"/>
      <c r="F38" s="805"/>
      <c r="G38" s="814"/>
      <c r="H38" s="802"/>
      <c r="I38" s="814"/>
      <c r="J38" s="814"/>
      <c r="K38" s="805"/>
      <c r="L38" s="805"/>
      <c r="M38" s="805"/>
      <c r="N38" s="820"/>
      <c r="O38" s="841"/>
      <c r="P38" s="805"/>
      <c r="Q38" s="814"/>
      <c r="R38" s="802"/>
      <c r="S38" s="817"/>
      <c r="T38" s="379"/>
      <c r="U38" s="805"/>
      <c r="V38" s="374"/>
      <c r="W38" s="379"/>
      <c r="X38" s="375"/>
      <c r="Y38" s="374"/>
      <c r="Z38" s="374"/>
      <c r="AA38" s="805"/>
      <c r="AB38" s="814"/>
      <c r="AC38" s="838"/>
      <c r="AD38" s="2">
        <v>2</v>
      </c>
    </row>
    <row r="39" spans="1:30" s="2" customFormat="1" x14ac:dyDescent="0.3">
      <c r="A39" s="809"/>
      <c r="B39" s="806"/>
      <c r="C39" s="806"/>
      <c r="D39" s="806"/>
      <c r="E39" s="806"/>
      <c r="F39" s="806"/>
      <c r="G39" s="815"/>
      <c r="H39" s="803"/>
      <c r="I39" s="815"/>
      <c r="J39" s="815"/>
      <c r="K39" s="806"/>
      <c r="L39" s="806"/>
      <c r="M39" s="806"/>
      <c r="N39" s="821"/>
      <c r="O39" s="842"/>
      <c r="P39" s="806"/>
      <c r="Q39" s="815"/>
      <c r="R39" s="803"/>
      <c r="S39" s="818"/>
      <c r="T39" s="380"/>
      <c r="U39" s="806"/>
      <c r="V39" s="376"/>
      <c r="W39" s="380"/>
      <c r="X39" s="377"/>
      <c r="Y39" s="376"/>
      <c r="Z39" s="376"/>
      <c r="AA39" s="806"/>
      <c r="AB39" s="815"/>
      <c r="AC39" s="839"/>
      <c r="AD39" s="2">
        <v>2</v>
      </c>
    </row>
    <row r="40" spans="1:30" hidden="1" x14ac:dyDescent="0.3">
      <c r="M40" s="3"/>
      <c r="AD40" s="8">
        <v>3</v>
      </c>
    </row>
    <row r="41" spans="1:30" hidden="1" x14ac:dyDescent="0.3">
      <c r="M41" s="3"/>
    </row>
    <row r="42" spans="1:30" hidden="1" x14ac:dyDescent="0.3">
      <c r="M42" s="3"/>
    </row>
    <row r="43" spans="1:30" hidden="1" x14ac:dyDescent="0.3">
      <c r="M43" s="3"/>
    </row>
    <row r="44" spans="1:30" hidden="1" x14ac:dyDescent="0.3">
      <c r="M44" s="3"/>
    </row>
    <row r="45" spans="1:30" hidden="1" x14ac:dyDescent="0.3">
      <c r="M45" s="3"/>
    </row>
    <row r="46" spans="1:30" hidden="1" x14ac:dyDescent="0.3">
      <c r="M46" s="3"/>
    </row>
    <row r="47" spans="1:30" hidden="1" x14ac:dyDescent="0.3">
      <c r="M47" s="3"/>
    </row>
    <row r="48" spans="1:30" hidden="1" x14ac:dyDescent="0.3">
      <c r="M48" s="3"/>
    </row>
  </sheetData>
  <sheetProtection password="EB34" sheet="1" objects="1" scenarios="1" formatCells="0" formatColumns="0" formatRows="0"/>
  <mergeCells count="51">
    <mergeCell ref="Y2:AA2"/>
    <mergeCell ref="T2:U2"/>
    <mergeCell ref="P4:R4"/>
    <mergeCell ref="E2:F2"/>
    <mergeCell ref="O2:P2"/>
    <mergeCell ref="A9:A17"/>
    <mergeCell ref="U9:U17"/>
    <mergeCell ref="AA9:AA17"/>
    <mergeCell ref="B9:B17"/>
    <mergeCell ref="AB9:AB17"/>
    <mergeCell ref="C9:C17"/>
    <mergeCell ref="S9:S17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U18:U39"/>
    <mergeCell ref="AA18:AA39"/>
    <mergeCell ref="B18:B39"/>
    <mergeCell ref="AB18:AB39"/>
    <mergeCell ref="A18:A39"/>
    <mergeCell ref="C18:C39"/>
    <mergeCell ref="S18:S39"/>
    <mergeCell ref="AC18:AC39"/>
    <mergeCell ref="D18:D39"/>
    <mergeCell ref="E18:E39"/>
    <mergeCell ref="F18:F39"/>
    <mergeCell ref="G18:G39"/>
    <mergeCell ref="H18:H39"/>
    <mergeCell ref="I18:I39"/>
    <mergeCell ref="J18:J39"/>
    <mergeCell ref="K18:K39"/>
    <mergeCell ref="L18:L39"/>
    <mergeCell ref="M18:M39"/>
    <mergeCell ref="N18:N39"/>
    <mergeCell ref="O18:O39"/>
    <mergeCell ref="P18:P39"/>
    <mergeCell ref="Q18:Q39"/>
    <mergeCell ref="R18:R39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140</v>
      </c>
      <c r="B1" s="65">
        <v>57</v>
      </c>
      <c r="C1" s="65">
        <v>9</v>
      </c>
      <c r="D1" s="846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847"/>
      <c r="E2" s="48"/>
      <c r="F2" s="80">
        <v>78</v>
      </c>
      <c r="G2" s="84">
        <v>60</v>
      </c>
      <c r="H2" s="83">
        <v>3</v>
      </c>
      <c r="I2" s="82">
        <v>1</v>
      </c>
      <c r="J2" s="81">
        <v>1</v>
      </c>
      <c r="K2" s="85">
        <v>2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153</v>
      </c>
      <c r="B4" s="62">
        <v>42</v>
      </c>
      <c r="C4" s="62">
        <v>9</v>
      </c>
      <c r="D4" s="848" t="s">
        <v>102</v>
      </c>
      <c r="E4" s="48"/>
      <c r="F4" s="80">
        <v>79</v>
      </c>
      <c r="G4" s="84">
        <v>61</v>
      </c>
      <c r="H4" s="83">
        <v>4</v>
      </c>
      <c r="I4" s="82">
        <v>2</v>
      </c>
      <c r="J4" s="81">
        <v>2</v>
      </c>
      <c r="K4" s="85">
        <v>3</v>
      </c>
    </row>
    <row r="5" spans="1:11" x14ac:dyDescent="0.3">
      <c r="A5" s="61" t="s">
        <v>89</v>
      </c>
      <c r="B5" s="62" t="s">
        <v>88</v>
      </c>
      <c r="C5" s="62" t="s">
        <v>87</v>
      </c>
      <c r="D5" s="849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19</v>
      </c>
      <c r="B7" s="64">
        <v>3</v>
      </c>
      <c r="C7" s="64">
        <v>9</v>
      </c>
      <c r="D7" s="850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851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14</v>
      </c>
      <c r="B10" s="60">
        <v>1</v>
      </c>
      <c r="C10" s="60">
        <v>9</v>
      </c>
      <c r="D10" s="852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853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30</v>
      </c>
      <c r="B13" s="58">
        <v>1</v>
      </c>
      <c r="C13" s="58">
        <v>9</v>
      </c>
      <c r="D13" s="854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855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39</v>
      </c>
      <c r="B16" s="56">
        <v>2</v>
      </c>
      <c r="C16" s="56">
        <v>9</v>
      </c>
      <c r="D16" s="844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845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2023-12-13T09:19:36Z</dcterms:modified>
</cp:coreProperties>
</file>