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ЭтаКнига" defaultThemeVersion="124226"/>
  <bookViews>
    <workbookView xWindow="7590" yWindow="240" windowWidth="10005" windowHeight="9915" tabRatio="610"/>
  </bookViews>
  <sheets>
    <sheet name="16+" sheetId="58" r:id="rId1"/>
  </sheets>
  <definedNames>
    <definedName name="_xlnm.Print_Area" localSheetId="0">'16+'!$A$1:$V$341</definedName>
  </definedNames>
  <calcPr calcId="145621"/>
</workbook>
</file>

<file path=xl/calcChain.xml><?xml version="1.0" encoding="utf-8"?>
<calcChain xmlns="http://schemas.openxmlformats.org/spreadsheetml/2006/main">
  <c r="I39" i="58" l="1"/>
  <c r="I68" i="58"/>
  <c r="I71" i="58"/>
  <c r="O136" i="58"/>
  <c r="O102" i="58" l="1"/>
  <c r="O11" i="58"/>
  <c r="O10" i="58"/>
  <c r="O68" i="58" l="1"/>
  <c r="O39" i="58"/>
  <c r="O33" i="58"/>
  <c r="O23" i="58"/>
  <c r="O47" i="58"/>
  <c r="O41" i="58"/>
  <c r="O25" i="58"/>
  <c r="O22" i="58" l="1"/>
  <c r="L68" i="58"/>
  <c r="I11" i="58"/>
  <c r="I10" i="58"/>
  <c r="Q68" i="58" l="1"/>
  <c r="Q136" i="58"/>
  <c r="E135" i="58" l="1"/>
  <c r="G135" i="58" s="1"/>
  <c r="E136" i="58"/>
  <c r="G136" i="58" s="1"/>
  <c r="E137" i="58"/>
  <c r="G137" i="58" s="1"/>
  <c r="K136" i="58" l="1"/>
  <c r="K137" i="58"/>
  <c r="K135" i="58" l="1"/>
  <c r="D162" i="58"/>
  <c r="H16" i="58"/>
  <c r="I16" i="58"/>
  <c r="I135" i="58"/>
  <c r="J135" i="58"/>
  <c r="L135" i="58"/>
  <c r="M135" i="58"/>
  <c r="N135" i="58"/>
  <c r="O135" i="58"/>
  <c r="P135" i="58"/>
  <c r="Q135" i="58"/>
  <c r="H135" i="58"/>
  <c r="H68" i="58"/>
  <c r="S135" i="58" l="1"/>
  <c r="T135" i="58" l="1"/>
  <c r="C329" i="58" l="1"/>
  <c r="C333" i="58" s="1"/>
  <c r="C322" i="58"/>
  <c r="C316" i="58"/>
  <c r="C314" i="58"/>
  <c r="C311" i="58"/>
  <c r="C301" i="58"/>
  <c r="C295" i="58"/>
  <c r="C291" i="58"/>
  <c r="C286" i="58"/>
  <c r="C283" i="58"/>
  <c r="C280" i="58"/>
  <c r="C277" i="58"/>
  <c r="C276" i="58"/>
  <c r="C269" i="58"/>
  <c r="C267" i="58" s="1"/>
  <c r="C265" i="58"/>
  <c r="C263" i="58"/>
  <c r="C262" i="58" s="1"/>
  <c r="C258" i="58"/>
  <c r="C254" i="58"/>
  <c r="C250" i="58"/>
  <c r="C246" i="58"/>
  <c r="C240" i="58"/>
  <c r="C235" i="58"/>
  <c r="C233" i="58"/>
  <c r="C225" i="58"/>
  <c r="C209" i="58"/>
  <c r="C207" i="58" s="1"/>
  <c r="C200" i="58"/>
  <c r="C195" i="58"/>
  <c r="C184" i="58"/>
  <c r="C173" i="58"/>
  <c r="C161" i="58"/>
  <c r="C160" i="58" s="1"/>
  <c r="C148" i="58"/>
  <c r="C145" i="58"/>
  <c r="C142" i="58"/>
  <c r="C141" i="58"/>
  <c r="C138" i="58"/>
  <c r="C134" i="58"/>
  <c r="E134" i="58" s="1"/>
  <c r="G134" i="58" s="1"/>
  <c r="C110" i="58"/>
  <c r="C107" i="58"/>
  <c r="C104" i="58"/>
  <c r="C101" i="58" s="1"/>
  <c r="C93" i="58"/>
  <c r="C91" i="58"/>
  <c r="C87" i="58"/>
  <c r="C85" i="58"/>
  <c r="C80" i="58"/>
  <c r="C79" i="58"/>
  <c r="C78" i="58"/>
  <c r="C77" i="58"/>
  <c r="C75" i="58"/>
  <c r="C74" i="58"/>
  <c r="C72" i="58"/>
  <c r="C71" i="58"/>
  <c r="C69" i="58"/>
  <c r="C68" i="58"/>
  <c r="C66" i="58"/>
  <c r="C64" i="58"/>
  <c r="C60" i="58"/>
  <c r="C59" i="58"/>
  <c r="C55" i="58"/>
  <c r="C49" i="58"/>
  <c r="C47" i="58"/>
  <c r="C39" i="58"/>
  <c r="C29" i="58"/>
  <c r="C28" i="58"/>
  <c r="C26" i="58"/>
  <c r="C25" i="58"/>
  <c r="C23" i="58"/>
  <c r="C20" i="58"/>
  <c r="C19" i="58"/>
  <c r="C15" i="58"/>
  <c r="C13" i="58"/>
  <c r="C11" i="58"/>
  <c r="C10" i="58"/>
  <c r="C9" i="58" l="1"/>
  <c r="C61" i="58"/>
  <c r="C143" i="58"/>
  <c r="C275" i="58"/>
  <c r="C327" i="58"/>
  <c r="C16" i="58"/>
  <c r="C22" i="58"/>
  <c r="C164" i="58"/>
  <c r="C205" i="58" s="1"/>
  <c r="C12" i="58"/>
  <c r="C30" i="58"/>
  <c r="C224" i="58"/>
  <c r="C244" i="58" s="1"/>
  <c r="C260" i="58"/>
  <c r="C264" i="58"/>
  <c r="C278" i="58" s="1"/>
  <c r="C162" i="58" l="1"/>
  <c r="C334" i="58"/>
  <c r="J30" i="58" l="1"/>
  <c r="M30" i="58"/>
  <c r="P30" i="58"/>
  <c r="R30" i="58"/>
  <c r="U30" i="58"/>
  <c r="T60" i="58" l="1"/>
  <c r="S60" i="58"/>
  <c r="Q60" i="58"/>
  <c r="N60" i="58"/>
  <c r="K60" i="58"/>
  <c r="T148" i="58" l="1"/>
  <c r="T82" i="58"/>
  <c r="T80" i="58"/>
  <c r="T78" i="58"/>
  <c r="T76" i="58"/>
  <c r="T75" i="58"/>
  <c r="T74" i="58"/>
  <c r="T67" i="58"/>
  <c r="T66" i="58"/>
  <c r="T56" i="58"/>
  <c r="T57" i="58"/>
  <c r="T55" i="58"/>
  <c r="O30" i="58" l="1"/>
  <c r="L30" i="58" l="1"/>
  <c r="T64" i="58" l="1"/>
  <c r="T79" i="58" l="1"/>
  <c r="T68" i="58" l="1"/>
  <c r="T69" i="58"/>
  <c r="A341" i="58" l="1"/>
  <c r="S276" i="58" l="1"/>
  <c r="O161" i="58"/>
  <c r="L161" i="58"/>
  <c r="T13" i="58"/>
  <c r="T332" i="58"/>
  <c r="S332" i="58"/>
  <c r="T331" i="58"/>
  <c r="S331" i="58"/>
  <c r="T330" i="58"/>
  <c r="S330" i="58"/>
  <c r="V329" i="58"/>
  <c r="V333" i="58" s="1"/>
  <c r="U329" i="58"/>
  <c r="U333" i="58" s="1"/>
  <c r="T326" i="58"/>
  <c r="S326" i="58"/>
  <c r="T325" i="58"/>
  <c r="S325" i="58"/>
  <c r="T324" i="58"/>
  <c r="S324" i="58"/>
  <c r="T323" i="58"/>
  <c r="S323" i="58"/>
  <c r="V322" i="58"/>
  <c r="U322" i="58"/>
  <c r="T321" i="58"/>
  <c r="S321" i="58"/>
  <c r="T320" i="58"/>
  <c r="S320" i="58"/>
  <c r="T319" i="58"/>
  <c r="S319" i="58"/>
  <c r="T318" i="58"/>
  <c r="S318" i="58"/>
  <c r="T317" i="58"/>
  <c r="S317" i="58"/>
  <c r="V316" i="58"/>
  <c r="U316" i="58"/>
  <c r="T315" i="58"/>
  <c r="S315" i="58"/>
  <c r="V314" i="58"/>
  <c r="U314" i="58"/>
  <c r="T314" i="58"/>
  <c r="S314" i="58"/>
  <c r="T313" i="58"/>
  <c r="S313" i="58"/>
  <c r="T312" i="58"/>
  <c r="S312" i="58"/>
  <c r="S311" i="58" s="1"/>
  <c r="V311" i="58"/>
  <c r="U311" i="58"/>
  <c r="T310" i="58"/>
  <c r="S310" i="58"/>
  <c r="T309" i="58"/>
  <c r="S309" i="58"/>
  <c r="T308" i="58"/>
  <c r="S308" i="58"/>
  <c r="T307" i="58"/>
  <c r="S307" i="58"/>
  <c r="T306" i="58"/>
  <c r="S306" i="58"/>
  <c r="T305" i="58"/>
  <c r="S305" i="58"/>
  <c r="T304" i="58"/>
  <c r="S304" i="58"/>
  <c r="T303" i="58"/>
  <c r="S303" i="58"/>
  <c r="T302" i="58"/>
  <c r="S302" i="58"/>
  <c r="S301" i="58" s="1"/>
  <c r="V301" i="58"/>
  <c r="U301" i="58"/>
  <c r="T300" i="58"/>
  <c r="S300" i="58"/>
  <c r="T299" i="58"/>
  <c r="S299" i="58"/>
  <c r="T298" i="58"/>
  <c r="S298" i="58"/>
  <c r="T297" i="58"/>
  <c r="S297" i="58"/>
  <c r="T296" i="58"/>
  <c r="S296" i="58"/>
  <c r="V295" i="58"/>
  <c r="U295" i="58"/>
  <c r="T294" i="58"/>
  <c r="S294" i="58"/>
  <c r="T293" i="58"/>
  <c r="S293" i="58"/>
  <c r="T292" i="58"/>
  <c r="S292" i="58"/>
  <c r="V291" i="58"/>
  <c r="U291" i="58"/>
  <c r="T290" i="58"/>
  <c r="S290" i="58"/>
  <c r="T289" i="58"/>
  <c r="S289" i="58"/>
  <c r="T288" i="58"/>
  <c r="S288" i="58"/>
  <c r="T287" i="58"/>
  <c r="S287" i="58"/>
  <c r="S286" i="58" s="1"/>
  <c r="V286" i="58"/>
  <c r="U286" i="58"/>
  <c r="T285" i="58"/>
  <c r="S285" i="58"/>
  <c r="T284" i="58"/>
  <c r="S284" i="58"/>
  <c r="V283" i="58"/>
  <c r="U283" i="58"/>
  <c r="T282" i="58"/>
  <c r="S282" i="58"/>
  <c r="T281" i="58"/>
  <c r="S281" i="58"/>
  <c r="S280" i="58" s="1"/>
  <c r="V280" i="58"/>
  <c r="U280" i="58"/>
  <c r="T276" i="58"/>
  <c r="V275" i="58"/>
  <c r="U275" i="58"/>
  <c r="T274" i="58"/>
  <c r="S274" i="58"/>
  <c r="T273" i="58"/>
  <c r="S273" i="58"/>
  <c r="T272" i="58"/>
  <c r="S272" i="58"/>
  <c r="T271" i="58"/>
  <c r="S271" i="58"/>
  <c r="T270" i="58"/>
  <c r="S270" i="58"/>
  <c r="T269" i="58"/>
  <c r="S269" i="58"/>
  <c r="T268" i="58"/>
  <c r="S268" i="58"/>
  <c r="V267" i="58"/>
  <c r="U267" i="58"/>
  <c r="T266" i="58"/>
  <c r="S266" i="58"/>
  <c r="T265" i="58"/>
  <c r="S265" i="58"/>
  <c r="V264" i="58"/>
  <c r="U264" i="58"/>
  <c r="V262" i="58"/>
  <c r="U262" i="58"/>
  <c r="T259" i="58"/>
  <c r="S259" i="58"/>
  <c r="V258" i="58"/>
  <c r="U258" i="58"/>
  <c r="T258" i="58"/>
  <c r="S258" i="58"/>
  <c r="T257" i="58"/>
  <c r="S257" i="58"/>
  <c r="T256" i="58"/>
  <c r="S256" i="58"/>
  <c r="T255" i="58"/>
  <c r="S255" i="58"/>
  <c r="V254" i="58"/>
  <c r="U254" i="58"/>
  <c r="T253" i="58"/>
  <c r="S253" i="58"/>
  <c r="T252" i="58"/>
  <c r="T250" i="58" s="1"/>
  <c r="S252" i="58"/>
  <c r="S251" i="58"/>
  <c r="V250" i="58"/>
  <c r="U250" i="58"/>
  <c r="T249" i="58"/>
  <c r="S249" i="58"/>
  <c r="T248" i="58"/>
  <c r="S248" i="58"/>
  <c r="T247" i="58"/>
  <c r="S247" i="58"/>
  <c r="V246" i="58"/>
  <c r="U246" i="58"/>
  <c r="T243" i="58"/>
  <c r="S243" i="58"/>
  <c r="T242" i="58"/>
  <c r="S242" i="58"/>
  <c r="T241" i="58"/>
  <c r="S241" i="58"/>
  <c r="V240" i="58"/>
  <c r="U240" i="58"/>
  <c r="T239" i="58"/>
  <c r="S239" i="58"/>
  <c r="T238" i="58"/>
  <c r="S238" i="58"/>
  <c r="T237" i="58"/>
  <c r="S237" i="58"/>
  <c r="T236" i="58"/>
  <c r="S236" i="58"/>
  <c r="V235" i="58"/>
  <c r="U235" i="58"/>
  <c r="T234" i="58"/>
  <c r="S234" i="58"/>
  <c r="T233" i="58"/>
  <c r="S233" i="58"/>
  <c r="T232" i="58"/>
  <c r="S232" i="58"/>
  <c r="T231" i="58"/>
  <c r="S231" i="58"/>
  <c r="T230" i="58"/>
  <c r="S230" i="58"/>
  <c r="T229" i="58"/>
  <c r="S229" i="58"/>
  <c r="T228" i="58"/>
  <c r="S228" i="58"/>
  <c r="T227" i="58"/>
  <c r="S227" i="58"/>
  <c r="T226" i="58"/>
  <c r="S226" i="58"/>
  <c r="T225" i="58"/>
  <c r="S225" i="58"/>
  <c r="V224" i="58"/>
  <c r="U224" i="58"/>
  <c r="T223" i="58"/>
  <c r="S223" i="58"/>
  <c r="T222" i="58"/>
  <c r="S222" i="58"/>
  <c r="T221" i="58"/>
  <c r="S221" i="58"/>
  <c r="T220" i="58"/>
  <c r="S220" i="58"/>
  <c r="T219" i="58"/>
  <c r="S219" i="58"/>
  <c r="T218" i="58"/>
  <c r="S218" i="58"/>
  <c r="T217" i="58"/>
  <c r="S217" i="58"/>
  <c r="T216" i="58"/>
  <c r="S216" i="58"/>
  <c r="T215" i="58"/>
  <c r="S215" i="58"/>
  <c r="T214" i="58"/>
  <c r="S214" i="58"/>
  <c r="T213" i="58"/>
  <c r="S213" i="58"/>
  <c r="T212" i="58"/>
  <c r="S212" i="58"/>
  <c r="T211" i="58"/>
  <c r="S211" i="58"/>
  <c r="T210" i="58"/>
  <c r="S210" i="58"/>
  <c r="T208" i="58"/>
  <c r="S208" i="58"/>
  <c r="V207" i="58"/>
  <c r="U207" i="58"/>
  <c r="T204" i="58"/>
  <c r="S204" i="58"/>
  <c r="T203" i="58"/>
  <c r="S203" i="58"/>
  <c r="T202" i="58"/>
  <c r="S202" i="58"/>
  <c r="T201" i="58"/>
  <c r="S201" i="58"/>
  <c r="V200" i="58"/>
  <c r="U200" i="58"/>
  <c r="T199" i="58"/>
  <c r="S199" i="58"/>
  <c r="T198" i="58"/>
  <c r="S198" i="58"/>
  <c r="T197" i="58"/>
  <c r="S197" i="58"/>
  <c r="T196" i="58"/>
  <c r="S196" i="58"/>
  <c r="V195" i="58"/>
  <c r="U195" i="58"/>
  <c r="T194" i="58"/>
  <c r="S194" i="58"/>
  <c r="T193" i="58"/>
  <c r="S193" i="58"/>
  <c r="T192" i="58"/>
  <c r="S192" i="58"/>
  <c r="T191" i="58"/>
  <c r="S191" i="58"/>
  <c r="T190" i="58"/>
  <c r="S190" i="58"/>
  <c r="T189" i="58"/>
  <c r="S189" i="58"/>
  <c r="T188" i="58"/>
  <c r="S188" i="58"/>
  <c r="T187" i="58"/>
  <c r="S187" i="58"/>
  <c r="T186" i="58"/>
  <c r="S186" i="58"/>
  <c r="T185" i="58"/>
  <c r="S185" i="58"/>
  <c r="V184" i="58"/>
  <c r="U184" i="58"/>
  <c r="T183" i="58"/>
  <c r="S183" i="58"/>
  <c r="T182" i="58"/>
  <c r="S182" i="58"/>
  <c r="T181" i="58"/>
  <c r="S181" i="58"/>
  <c r="T180" i="58"/>
  <c r="S180" i="58"/>
  <c r="T179" i="58"/>
  <c r="S179" i="58"/>
  <c r="T178" i="58"/>
  <c r="S178" i="58"/>
  <c r="T177" i="58"/>
  <c r="S177" i="58"/>
  <c r="T176" i="58"/>
  <c r="S176" i="58"/>
  <c r="T175" i="58"/>
  <c r="S175" i="58"/>
  <c r="T174" i="58"/>
  <c r="S174" i="58"/>
  <c r="T172" i="58"/>
  <c r="S172" i="58"/>
  <c r="T171" i="58"/>
  <c r="S171" i="58"/>
  <c r="T170" i="58"/>
  <c r="S170" i="58"/>
  <c r="T169" i="58"/>
  <c r="S169" i="58"/>
  <c r="T168" i="58"/>
  <c r="S168" i="58"/>
  <c r="T167" i="58"/>
  <c r="S167" i="58"/>
  <c r="T166" i="58"/>
  <c r="S166" i="58"/>
  <c r="T165" i="58"/>
  <c r="S165" i="58"/>
  <c r="V164" i="58"/>
  <c r="V205" i="58" s="1"/>
  <c r="U164" i="58"/>
  <c r="U205" i="58" s="1"/>
  <c r="V160" i="58"/>
  <c r="U160" i="58"/>
  <c r="T159" i="58"/>
  <c r="S159" i="58"/>
  <c r="T158" i="58"/>
  <c r="S158" i="58"/>
  <c r="T157" i="58"/>
  <c r="S157" i="58"/>
  <c r="T156" i="58"/>
  <c r="S156" i="58"/>
  <c r="T155" i="58"/>
  <c r="S155" i="58"/>
  <c r="T154" i="58"/>
  <c r="S154" i="58"/>
  <c r="T153" i="58"/>
  <c r="S153" i="58"/>
  <c r="T152" i="58"/>
  <c r="S152" i="58"/>
  <c r="T151" i="58"/>
  <c r="S151" i="58"/>
  <c r="T150" i="58"/>
  <c r="S150" i="58"/>
  <c r="T149" i="58"/>
  <c r="S149" i="58"/>
  <c r="S148" i="58"/>
  <c r="T147" i="58"/>
  <c r="S147" i="58"/>
  <c r="T146" i="58"/>
  <c r="S146" i="58"/>
  <c r="T144" i="58"/>
  <c r="S144" i="58"/>
  <c r="V143" i="58"/>
  <c r="U143" i="58"/>
  <c r="T141" i="58"/>
  <c r="S141" i="58"/>
  <c r="T140" i="58"/>
  <c r="S140" i="58"/>
  <c r="T139" i="58"/>
  <c r="S139" i="58"/>
  <c r="S138" i="58" s="1"/>
  <c r="V138" i="58"/>
  <c r="U138" i="58"/>
  <c r="T133" i="58"/>
  <c r="S133" i="58"/>
  <c r="T132" i="58"/>
  <c r="S132" i="58"/>
  <c r="T131" i="58"/>
  <c r="S131" i="58"/>
  <c r="T130" i="58"/>
  <c r="S130" i="58"/>
  <c r="T129" i="58"/>
  <c r="S129" i="58"/>
  <c r="T128" i="58"/>
  <c r="S128" i="58"/>
  <c r="T127" i="58"/>
  <c r="S127" i="58"/>
  <c r="T126" i="58"/>
  <c r="S126" i="58"/>
  <c r="T125" i="58"/>
  <c r="S125" i="58"/>
  <c r="T124" i="58"/>
  <c r="S124" i="58"/>
  <c r="T123" i="58"/>
  <c r="S123" i="58"/>
  <c r="T122" i="58"/>
  <c r="S122" i="58"/>
  <c r="T121" i="58"/>
  <c r="S121" i="58"/>
  <c r="T120" i="58"/>
  <c r="S120" i="58"/>
  <c r="T119" i="58"/>
  <c r="S119" i="58"/>
  <c r="T117" i="58"/>
  <c r="S117" i="58"/>
  <c r="T116" i="58"/>
  <c r="S116" i="58"/>
  <c r="T115" i="58"/>
  <c r="S115" i="58"/>
  <c r="T114" i="58"/>
  <c r="S114" i="58"/>
  <c r="T113" i="58"/>
  <c r="S113" i="58"/>
  <c r="T112" i="58"/>
  <c r="S112" i="58"/>
  <c r="T111" i="58"/>
  <c r="S111" i="58"/>
  <c r="V110" i="58"/>
  <c r="U110" i="58"/>
  <c r="T109" i="58"/>
  <c r="S109" i="58"/>
  <c r="T108" i="58"/>
  <c r="S108" i="58"/>
  <c r="V107" i="58"/>
  <c r="U107" i="58"/>
  <c r="T107" i="58"/>
  <c r="S107" i="58"/>
  <c r="S106" i="58"/>
  <c r="S105" i="58"/>
  <c r="V101" i="58"/>
  <c r="U101" i="58"/>
  <c r="T100" i="58"/>
  <c r="S100" i="58"/>
  <c r="T99" i="58"/>
  <c r="S99" i="58"/>
  <c r="T98" i="58"/>
  <c r="S98" i="58"/>
  <c r="T96" i="58"/>
  <c r="S96" i="58"/>
  <c r="T95" i="58"/>
  <c r="S95" i="58"/>
  <c r="T94" i="58"/>
  <c r="S94" i="58"/>
  <c r="T93" i="58"/>
  <c r="S93" i="58"/>
  <c r="T92" i="58"/>
  <c r="S92" i="58"/>
  <c r="T90" i="58"/>
  <c r="S90" i="58"/>
  <c r="T89" i="58"/>
  <c r="S89" i="58"/>
  <c r="T88" i="58"/>
  <c r="S88" i="58"/>
  <c r="S87" i="58"/>
  <c r="T86" i="58"/>
  <c r="S86" i="58"/>
  <c r="T84" i="58"/>
  <c r="S84" i="58"/>
  <c r="T83" i="58"/>
  <c r="S83" i="58"/>
  <c r="S82" i="58"/>
  <c r="S80" i="58"/>
  <c r="S78" i="58"/>
  <c r="S76" i="58"/>
  <c r="S75" i="58"/>
  <c r="S74" i="58"/>
  <c r="T73" i="58"/>
  <c r="S73" i="58"/>
  <c r="T70" i="58"/>
  <c r="S70" i="58"/>
  <c r="S67" i="58"/>
  <c r="T65" i="58"/>
  <c r="S65" i="58"/>
  <c r="T63" i="58"/>
  <c r="S63" i="58"/>
  <c r="T62" i="58"/>
  <c r="S62" i="58"/>
  <c r="V61" i="58"/>
  <c r="U61" i="58"/>
  <c r="T59" i="58"/>
  <c r="S59" i="58"/>
  <c r="T58" i="58"/>
  <c r="S58" i="58"/>
  <c r="S57" i="58"/>
  <c r="S56" i="58"/>
  <c r="S55" i="58"/>
  <c r="T54" i="58"/>
  <c r="S54" i="58"/>
  <c r="T53" i="58"/>
  <c r="S53" i="58"/>
  <c r="T52" i="58"/>
  <c r="S52" i="58"/>
  <c r="T51" i="58"/>
  <c r="S51" i="58"/>
  <c r="T50" i="58"/>
  <c r="S50" i="58"/>
  <c r="T48" i="58"/>
  <c r="S48" i="58"/>
  <c r="T46" i="58"/>
  <c r="S46" i="58"/>
  <c r="T45" i="58"/>
  <c r="S45" i="58"/>
  <c r="T44" i="58"/>
  <c r="S44" i="58"/>
  <c r="T43" i="58"/>
  <c r="S43" i="58"/>
  <c r="T42" i="58"/>
  <c r="S42" i="58"/>
  <c r="T41" i="58"/>
  <c r="T40" i="58"/>
  <c r="S40" i="58"/>
  <c r="T38" i="58"/>
  <c r="S38" i="58"/>
  <c r="T37" i="58"/>
  <c r="S37" i="58"/>
  <c r="T36" i="58"/>
  <c r="T35" i="58"/>
  <c r="S35" i="58"/>
  <c r="T34" i="58"/>
  <c r="S34" i="58"/>
  <c r="T33" i="58"/>
  <c r="S33" i="58"/>
  <c r="T32" i="58"/>
  <c r="S32" i="58"/>
  <c r="T31" i="58"/>
  <c r="S31" i="58"/>
  <c r="V30" i="58"/>
  <c r="T27" i="58"/>
  <c r="S27" i="58"/>
  <c r="T24" i="58"/>
  <c r="S24" i="58"/>
  <c r="V22" i="58"/>
  <c r="U22" i="58"/>
  <c r="T21" i="58"/>
  <c r="S21" i="58"/>
  <c r="T19" i="58"/>
  <c r="S19" i="58"/>
  <c r="T18" i="58"/>
  <c r="S18" i="58"/>
  <c r="T17" i="58"/>
  <c r="S17" i="58"/>
  <c r="V16" i="58"/>
  <c r="U16" i="58"/>
  <c r="T14" i="58"/>
  <c r="S14" i="58"/>
  <c r="S13" i="58"/>
  <c r="V12" i="58"/>
  <c r="U12" i="58"/>
  <c r="V9" i="58"/>
  <c r="U9" i="58"/>
  <c r="T105" i="58"/>
  <c r="T106" i="58"/>
  <c r="T87" i="58"/>
  <c r="S41" i="58"/>
  <c r="S36" i="58"/>
  <c r="Q290" i="58"/>
  <c r="N290" i="58"/>
  <c r="K290" i="58"/>
  <c r="E290" i="58"/>
  <c r="G290" i="58" s="1"/>
  <c r="U162" i="58" l="1"/>
  <c r="V162" i="58"/>
  <c r="S277" i="58"/>
  <c r="S142" i="58"/>
  <c r="I30" i="58"/>
  <c r="T195" i="58"/>
  <c r="T224" i="58"/>
  <c r="T240" i="58"/>
  <c r="S283" i="58"/>
  <c r="S195" i="58"/>
  <c r="S224" i="58"/>
  <c r="S240" i="58"/>
  <c r="T254" i="58"/>
  <c r="T283" i="58"/>
  <c r="T286" i="58"/>
  <c r="T184" i="58"/>
  <c r="T200" i="58"/>
  <c r="T235" i="58"/>
  <c r="S267" i="58"/>
  <c r="T301" i="58"/>
  <c r="T316" i="58"/>
  <c r="S184" i="58"/>
  <c r="S200" i="58"/>
  <c r="S235" i="58"/>
  <c r="T280" i="58"/>
  <c r="S329" i="58"/>
  <c r="S333" i="58" s="1"/>
  <c r="U244" i="58"/>
  <c r="S322" i="58"/>
  <c r="V244" i="58"/>
  <c r="S291" i="58"/>
  <c r="S295" i="58"/>
  <c r="S161" i="58"/>
  <c r="S160" i="58" s="1"/>
  <c r="T291" i="58"/>
  <c r="T277" i="58"/>
  <c r="S264" i="58"/>
  <c r="T138" i="58"/>
  <c r="S254" i="58"/>
  <c r="T246" i="58"/>
  <c r="T295" i="58"/>
  <c r="T311" i="58"/>
  <c r="S316" i="58"/>
  <c r="S327" i="58" s="1"/>
  <c r="T329" i="58"/>
  <c r="T333" i="58" s="1"/>
  <c r="T267" i="58"/>
  <c r="T264" i="58"/>
  <c r="U327" i="58"/>
  <c r="T322" i="58"/>
  <c r="S246" i="58"/>
  <c r="V278" i="58"/>
  <c r="V327" i="58"/>
  <c r="T275" i="58"/>
  <c r="T161" i="58"/>
  <c r="T160" i="58" s="1"/>
  <c r="S275" i="58"/>
  <c r="U260" i="58"/>
  <c r="S250" i="58"/>
  <c r="S25" i="58"/>
  <c r="T25" i="58"/>
  <c r="S72" i="58"/>
  <c r="T72" i="58"/>
  <c r="T103" i="58"/>
  <c r="S103" i="58"/>
  <c r="T10" i="58"/>
  <c r="S10" i="58"/>
  <c r="S15" i="58"/>
  <c r="S12" i="58" s="1"/>
  <c r="T15" i="58"/>
  <c r="T12" i="58" s="1"/>
  <c r="S20" i="58"/>
  <c r="S16" i="58" s="1"/>
  <c r="T20" i="58"/>
  <c r="T16" i="58" s="1"/>
  <c r="S28" i="58"/>
  <c r="T28" i="58"/>
  <c r="S47" i="58"/>
  <c r="T47" i="58"/>
  <c r="S66" i="58"/>
  <c r="S69" i="58"/>
  <c r="S79" i="58"/>
  <c r="S91" i="58"/>
  <c r="T91" i="58"/>
  <c r="S104" i="58"/>
  <c r="T104" i="58"/>
  <c r="S118" i="58"/>
  <c r="S110" i="58" s="1"/>
  <c r="T118" i="58"/>
  <c r="T110" i="58" s="1"/>
  <c r="S145" i="58"/>
  <c r="S143" i="58" s="1"/>
  <c r="T145" i="58"/>
  <c r="T143" i="58" s="1"/>
  <c r="S209" i="58"/>
  <c r="S207" i="58" s="1"/>
  <c r="T209" i="58"/>
  <c r="T207" i="58" s="1"/>
  <c r="T244" i="58" s="1"/>
  <c r="S11" i="58"/>
  <c r="T11" i="58"/>
  <c r="S23" i="58"/>
  <c r="T23" i="58"/>
  <c r="S26" i="58"/>
  <c r="T26" i="58"/>
  <c r="S29" i="58"/>
  <c r="T29" i="58"/>
  <c r="S39" i="58"/>
  <c r="T39" i="58"/>
  <c r="S49" i="58"/>
  <c r="T49" i="58"/>
  <c r="S64" i="58"/>
  <c r="S68" i="58"/>
  <c r="S71" i="58"/>
  <c r="T71" i="58"/>
  <c r="S77" i="58"/>
  <c r="T77" i="58"/>
  <c r="S85" i="58"/>
  <c r="T85" i="58"/>
  <c r="T102" i="58"/>
  <c r="S102" i="58"/>
  <c r="S134" i="58"/>
  <c r="T134" i="58"/>
  <c r="S173" i="58"/>
  <c r="S164" i="58" s="1"/>
  <c r="S205" i="58" s="1"/>
  <c r="T173" i="58"/>
  <c r="T164" i="58" s="1"/>
  <c r="T263" i="58"/>
  <c r="T262" i="58" s="1"/>
  <c r="S263" i="58"/>
  <c r="S262" i="58" s="1"/>
  <c r="T260" i="58"/>
  <c r="V260" i="58"/>
  <c r="U278" i="58"/>
  <c r="U334" i="58" s="1"/>
  <c r="S260" i="58" l="1"/>
  <c r="V334" i="58"/>
  <c r="T205" i="58"/>
  <c r="S244" i="58"/>
  <c r="T30" i="58"/>
  <c r="S30" i="58"/>
  <c r="T327" i="58"/>
  <c r="T278" i="58"/>
  <c r="U335" i="58"/>
  <c r="V335" i="58"/>
  <c r="S278" i="58"/>
  <c r="S334" i="58" s="1"/>
  <c r="S101" i="58"/>
  <c r="T101" i="58"/>
  <c r="T61" i="58"/>
  <c r="S22" i="58"/>
  <c r="T9" i="58"/>
  <c r="S61" i="58"/>
  <c r="T22" i="58"/>
  <c r="S9" i="58"/>
  <c r="T334" i="58" l="1"/>
  <c r="S162" i="58"/>
  <c r="S335" i="58" s="1"/>
  <c r="Q202" i="58" l="1"/>
  <c r="N202" i="58"/>
  <c r="K202" i="58"/>
  <c r="E202" i="58"/>
  <c r="G202" i="58" s="1"/>
  <c r="Q332" i="58" l="1"/>
  <c r="N332" i="58"/>
  <c r="K332" i="58"/>
  <c r="E332" i="58"/>
  <c r="G332" i="58" s="1"/>
  <c r="Q331" i="58"/>
  <c r="N331" i="58"/>
  <c r="K331" i="58"/>
  <c r="E331" i="58"/>
  <c r="G331" i="58" s="1"/>
  <c r="Q330" i="58"/>
  <c r="Q329" i="58" s="1"/>
  <c r="Q333" i="58" s="1"/>
  <c r="N330" i="58"/>
  <c r="N329" i="58" s="1"/>
  <c r="N333" i="58" s="1"/>
  <c r="K330" i="58"/>
  <c r="K329" i="58" s="1"/>
  <c r="K333" i="58" s="1"/>
  <c r="E330" i="58"/>
  <c r="G330" i="58" s="1"/>
  <c r="G329" i="58" s="1"/>
  <c r="G333" i="58" s="1"/>
  <c r="R329" i="58"/>
  <c r="R333" i="58" s="1"/>
  <c r="P329" i="58"/>
  <c r="P333" i="58" s="1"/>
  <c r="O329" i="58"/>
  <c r="O333" i="58" s="1"/>
  <c r="M329" i="58"/>
  <c r="M333" i="58" s="1"/>
  <c r="L329" i="58"/>
  <c r="L333" i="58" s="1"/>
  <c r="J329" i="58"/>
  <c r="J333" i="58" s="1"/>
  <c r="I329" i="58"/>
  <c r="I333" i="58" s="1"/>
  <c r="H329" i="58"/>
  <c r="H333" i="58" s="1"/>
  <c r="F329" i="58"/>
  <c r="F333" i="58" s="1"/>
  <c r="Q326" i="58"/>
  <c r="N326" i="58"/>
  <c r="K326" i="58"/>
  <c r="E326" i="58"/>
  <c r="G326" i="58" s="1"/>
  <c r="Q325" i="58"/>
  <c r="N325" i="58"/>
  <c r="K325" i="58"/>
  <c r="E325" i="58"/>
  <c r="G325" i="58" s="1"/>
  <c r="Q324" i="58"/>
  <c r="N324" i="58"/>
  <c r="K324" i="58"/>
  <c r="E324" i="58"/>
  <c r="G324" i="58" s="1"/>
  <c r="Q323" i="58"/>
  <c r="Q322" i="58" s="1"/>
  <c r="N323" i="58"/>
  <c r="N322" i="58" s="1"/>
  <c r="K323" i="58"/>
  <c r="K322" i="58" s="1"/>
  <c r="E323" i="58"/>
  <c r="G323" i="58" s="1"/>
  <c r="G322" i="58" s="1"/>
  <c r="R322" i="58"/>
  <c r="P322" i="58"/>
  <c r="O322" i="58"/>
  <c r="M322" i="58"/>
  <c r="L322" i="58"/>
  <c r="J322" i="58"/>
  <c r="I322" i="58"/>
  <c r="H322" i="58"/>
  <c r="F322" i="58"/>
  <c r="Q321" i="58"/>
  <c r="K321" i="58"/>
  <c r="E321" i="58"/>
  <c r="G321" i="58" s="1"/>
  <c r="Q320" i="58"/>
  <c r="N320" i="58"/>
  <c r="K320" i="58"/>
  <c r="E320" i="58"/>
  <c r="G320" i="58" s="1"/>
  <c r="Q319" i="58"/>
  <c r="N319" i="58"/>
  <c r="K319" i="58"/>
  <c r="E319" i="58"/>
  <c r="G319" i="58" s="1"/>
  <c r="Q318" i="58"/>
  <c r="N318" i="58"/>
  <c r="K318" i="58"/>
  <c r="E318" i="58"/>
  <c r="G318" i="58" s="1"/>
  <c r="Q317" i="58"/>
  <c r="N317" i="58"/>
  <c r="N316" i="58" s="1"/>
  <c r="K317" i="58"/>
  <c r="E317" i="58"/>
  <c r="G317" i="58" s="1"/>
  <c r="R316" i="58"/>
  <c r="P316" i="58"/>
  <c r="O316" i="58"/>
  <c r="M316" i="58"/>
  <c r="L316" i="58"/>
  <c r="J316" i="58"/>
  <c r="I316" i="58"/>
  <c r="H316" i="58"/>
  <c r="F316" i="58"/>
  <c r="Q315" i="58"/>
  <c r="Q314" i="58" s="1"/>
  <c r="N315" i="58"/>
  <c r="N314" i="58" s="1"/>
  <c r="K315" i="58"/>
  <c r="K314" i="58" s="1"/>
  <c r="E315" i="58"/>
  <c r="G315" i="58" s="1"/>
  <c r="G314" i="58" s="1"/>
  <c r="R314" i="58"/>
  <c r="P314" i="58"/>
  <c r="O314" i="58"/>
  <c r="M314" i="58"/>
  <c r="L314" i="58"/>
  <c r="J314" i="58"/>
  <c r="I314" i="58"/>
  <c r="H314" i="58"/>
  <c r="F314" i="58"/>
  <c r="Q313" i="58"/>
  <c r="N313" i="58"/>
  <c r="K313" i="58"/>
  <c r="E313" i="58"/>
  <c r="G313" i="58" s="1"/>
  <c r="Q312" i="58"/>
  <c r="Q311" i="58" s="1"/>
  <c r="N312" i="58"/>
  <c r="N311" i="58" s="1"/>
  <c r="K312" i="58"/>
  <c r="K311" i="58" s="1"/>
  <c r="E312" i="58"/>
  <c r="G312" i="58" s="1"/>
  <c r="R311" i="58"/>
  <c r="P311" i="58"/>
  <c r="O311" i="58"/>
  <c r="M311" i="58"/>
  <c r="L311" i="58"/>
  <c r="J311" i="58"/>
  <c r="I311" i="58"/>
  <c r="H311" i="58"/>
  <c r="F311" i="58"/>
  <c r="Q310" i="58"/>
  <c r="N310" i="58"/>
  <c r="K310" i="58"/>
  <c r="E310" i="58"/>
  <c r="G310" i="58" s="1"/>
  <c r="Q309" i="58"/>
  <c r="N309" i="58"/>
  <c r="K309" i="58"/>
  <c r="E309" i="58"/>
  <c r="G309" i="58" s="1"/>
  <c r="Q308" i="58"/>
  <c r="N308" i="58"/>
  <c r="K308" i="58"/>
  <c r="E308" i="58"/>
  <c r="G308" i="58" s="1"/>
  <c r="Q307" i="58"/>
  <c r="N307" i="58"/>
  <c r="K307" i="58"/>
  <c r="E307" i="58"/>
  <c r="G307" i="58" s="1"/>
  <c r="Q306" i="58"/>
  <c r="N306" i="58"/>
  <c r="K306" i="58"/>
  <c r="E306" i="58"/>
  <c r="G306" i="58" s="1"/>
  <c r="Q305" i="58"/>
  <c r="N305" i="58"/>
  <c r="K305" i="58"/>
  <c r="E305" i="58"/>
  <c r="G305" i="58" s="1"/>
  <c r="Q304" i="58"/>
  <c r="N304" i="58"/>
  <c r="K304" i="58"/>
  <c r="E304" i="58"/>
  <c r="G304" i="58" s="1"/>
  <c r="Q303" i="58"/>
  <c r="N303" i="58"/>
  <c r="K303" i="58"/>
  <c r="E303" i="58"/>
  <c r="G303" i="58" s="1"/>
  <c r="Q302" i="58"/>
  <c r="Q301" i="58" s="1"/>
  <c r="N302" i="58"/>
  <c r="N301" i="58" s="1"/>
  <c r="K302" i="58"/>
  <c r="K301" i="58" s="1"/>
  <c r="E302" i="58"/>
  <c r="G302" i="58" s="1"/>
  <c r="R301" i="58"/>
  <c r="P301" i="58"/>
  <c r="O301" i="58"/>
  <c r="M301" i="58"/>
  <c r="L301" i="58"/>
  <c r="J301" i="58"/>
  <c r="I301" i="58"/>
  <c r="H301" i="58"/>
  <c r="F301" i="58"/>
  <c r="Q300" i="58"/>
  <c r="N300" i="58"/>
  <c r="K300" i="58"/>
  <c r="E300" i="58"/>
  <c r="G300" i="58" s="1"/>
  <c r="Q299" i="58"/>
  <c r="N299" i="58"/>
  <c r="K299" i="58"/>
  <c r="E299" i="58"/>
  <c r="G299" i="58" s="1"/>
  <c r="Q298" i="58"/>
  <c r="N298" i="58"/>
  <c r="K298" i="58"/>
  <c r="E298" i="58"/>
  <c r="G298" i="58" s="1"/>
  <c r="Q297" i="58"/>
  <c r="N297" i="58"/>
  <c r="K297" i="58"/>
  <c r="E297" i="58"/>
  <c r="G297" i="58" s="1"/>
  <c r="Q296" i="58"/>
  <c r="Q295" i="58" s="1"/>
  <c r="N296" i="58"/>
  <c r="N295" i="58" s="1"/>
  <c r="K296" i="58"/>
  <c r="K295" i="58" s="1"/>
  <c r="E296" i="58"/>
  <c r="G296" i="58" s="1"/>
  <c r="R295" i="58"/>
  <c r="P295" i="58"/>
  <c r="O295" i="58"/>
  <c r="M295" i="58"/>
  <c r="L295" i="58"/>
  <c r="J295" i="58"/>
  <c r="I295" i="58"/>
  <c r="H295" i="58"/>
  <c r="F295" i="58"/>
  <c r="Q294" i="58"/>
  <c r="N294" i="58"/>
  <c r="K294" i="58"/>
  <c r="E294" i="58"/>
  <c r="G294" i="58" s="1"/>
  <c r="Q293" i="58"/>
  <c r="N293" i="58"/>
  <c r="K293" i="58"/>
  <c r="E293" i="58"/>
  <c r="G293" i="58" s="1"/>
  <c r="Q292" i="58"/>
  <c r="Q291" i="58" s="1"/>
  <c r="N292" i="58"/>
  <c r="N291" i="58" s="1"/>
  <c r="K292" i="58"/>
  <c r="K291" i="58" s="1"/>
  <c r="E292" i="58"/>
  <c r="G292" i="58" s="1"/>
  <c r="R291" i="58"/>
  <c r="P291" i="58"/>
  <c r="O291" i="58"/>
  <c r="M291" i="58"/>
  <c r="L291" i="58"/>
  <c r="J291" i="58"/>
  <c r="I291" i="58"/>
  <c r="H291" i="58"/>
  <c r="F291" i="58"/>
  <c r="Q289" i="58"/>
  <c r="N289" i="58"/>
  <c r="K289" i="58"/>
  <c r="E289" i="58"/>
  <c r="G289" i="58" s="1"/>
  <c r="Q288" i="58"/>
  <c r="N288" i="58"/>
  <c r="K288" i="58"/>
  <c r="E288" i="58"/>
  <c r="G288" i="58" s="1"/>
  <c r="Q287" i="58"/>
  <c r="Q286" i="58" s="1"/>
  <c r="N287" i="58"/>
  <c r="N286" i="58" s="1"/>
  <c r="K287" i="58"/>
  <c r="K286" i="58" s="1"/>
  <c r="E287" i="58"/>
  <c r="G287" i="58" s="1"/>
  <c r="R286" i="58"/>
  <c r="P286" i="58"/>
  <c r="O286" i="58"/>
  <c r="M286" i="58"/>
  <c r="L286" i="58"/>
  <c r="J286" i="58"/>
  <c r="I286" i="58"/>
  <c r="H286" i="58"/>
  <c r="F286" i="58"/>
  <c r="Q285" i="58"/>
  <c r="N285" i="58"/>
  <c r="K285" i="58"/>
  <c r="E285" i="58"/>
  <c r="G285" i="58" s="1"/>
  <c r="Q284" i="58"/>
  <c r="Q283" i="58" s="1"/>
  <c r="N284" i="58"/>
  <c r="N283" i="58" s="1"/>
  <c r="K284" i="58"/>
  <c r="K283" i="58" s="1"/>
  <c r="E284" i="58"/>
  <c r="G284" i="58" s="1"/>
  <c r="G283" i="58" s="1"/>
  <c r="R283" i="58"/>
  <c r="P283" i="58"/>
  <c r="O283" i="58"/>
  <c r="M283" i="58"/>
  <c r="L283" i="58"/>
  <c r="J283" i="58"/>
  <c r="I283" i="58"/>
  <c r="H283" i="58"/>
  <c r="F283" i="58"/>
  <c r="Q282" i="58"/>
  <c r="N282" i="58"/>
  <c r="K282" i="58"/>
  <c r="E282" i="58"/>
  <c r="G282" i="58" s="1"/>
  <c r="Q281" i="58"/>
  <c r="Q280" i="58" s="1"/>
  <c r="N281" i="58"/>
  <c r="N280" i="58" s="1"/>
  <c r="K281" i="58"/>
  <c r="K280" i="58" s="1"/>
  <c r="E281" i="58"/>
  <c r="G281" i="58" s="1"/>
  <c r="R280" i="58"/>
  <c r="P280" i="58"/>
  <c r="O280" i="58"/>
  <c r="M280" i="58"/>
  <c r="L280" i="58"/>
  <c r="J280" i="58"/>
  <c r="I280" i="58"/>
  <c r="H280" i="58"/>
  <c r="F280" i="58"/>
  <c r="Q277" i="58"/>
  <c r="N277" i="58"/>
  <c r="K277" i="58"/>
  <c r="E277" i="58"/>
  <c r="G277" i="58" s="1"/>
  <c r="Q276" i="58"/>
  <c r="Q275" i="58" s="1"/>
  <c r="N276" i="58"/>
  <c r="N275" i="58" s="1"/>
  <c r="K276" i="58"/>
  <c r="K275" i="58" s="1"/>
  <c r="E276" i="58"/>
  <c r="G276" i="58" s="1"/>
  <c r="R275" i="58"/>
  <c r="P275" i="58"/>
  <c r="O275" i="58"/>
  <c r="M275" i="58"/>
  <c r="L275" i="58"/>
  <c r="J275" i="58"/>
  <c r="I275" i="58"/>
  <c r="H275" i="58"/>
  <c r="F275" i="58"/>
  <c r="Q274" i="58"/>
  <c r="N274" i="58"/>
  <c r="K274" i="58"/>
  <c r="E274" i="58"/>
  <c r="G274" i="58" s="1"/>
  <c r="Q273" i="58"/>
  <c r="N273" i="58"/>
  <c r="K273" i="58"/>
  <c r="E273" i="58"/>
  <c r="G273" i="58" s="1"/>
  <c r="Q272" i="58"/>
  <c r="N272" i="58"/>
  <c r="K272" i="58"/>
  <c r="E272" i="58"/>
  <c r="G272" i="58" s="1"/>
  <c r="Q271" i="58"/>
  <c r="N271" i="58"/>
  <c r="K271" i="58"/>
  <c r="E271" i="58"/>
  <c r="G271" i="58" s="1"/>
  <c r="Q270" i="58"/>
  <c r="N270" i="58"/>
  <c r="K270" i="58"/>
  <c r="E270" i="58"/>
  <c r="G270" i="58" s="1"/>
  <c r="Q269" i="58"/>
  <c r="N269" i="58"/>
  <c r="K269" i="58"/>
  <c r="E269" i="58"/>
  <c r="G269" i="58" s="1"/>
  <c r="Q268" i="58"/>
  <c r="N268" i="58"/>
  <c r="K268" i="58"/>
  <c r="E268" i="58"/>
  <c r="G268" i="58" s="1"/>
  <c r="R267" i="58"/>
  <c r="P267" i="58"/>
  <c r="O267" i="58"/>
  <c r="M267" i="58"/>
  <c r="L267" i="58"/>
  <c r="J267" i="58"/>
  <c r="I267" i="58"/>
  <c r="H267" i="58"/>
  <c r="F267" i="58"/>
  <c r="Q266" i="58"/>
  <c r="N266" i="58"/>
  <c r="K266" i="58"/>
  <c r="E266" i="58"/>
  <c r="G266" i="58" s="1"/>
  <c r="Q265" i="58"/>
  <c r="Q264" i="58" s="1"/>
  <c r="N265" i="58"/>
  <c r="N264" i="58" s="1"/>
  <c r="K265" i="58"/>
  <c r="K264" i="58" s="1"/>
  <c r="E265" i="58"/>
  <c r="G265" i="58" s="1"/>
  <c r="G264" i="58" s="1"/>
  <c r="R264" i="58"/>
  <c r="P264" i="58"/>
  <c r="O264" i="58"/>
  <c r="M264" i="58"/>
  <c r="L264" i="58"/>
  <c r="J264" i="58"/>
  <c r="I264" i="58"/>
  <c r="H264" i="58"/>
  <c r="F264" i="58"/>
  <c r="Q263" i="58"/>
  <c r="Q262" i="58" s="1"/>
  <c r="N263" i="58"/>
  <c r="N262" i="58" s="1"/>
  <c r="K263" i="58"/>
  <c r="K262" i="58" s="1"/>
  <c r="E263" i="58"/>
  <c r="G263" i="58" s="1"/>
  <c r="G262" i="58" s="1"/>
  <c r="R262" i="58"/>
  <c r="P262" i="58"/>
  <c r="O262" i="58"/>
  <c r="M262" i="58"/>
  <c r="L262" i="58"/>
  <c r="J262" i="58"/>
  <c r="I262" i="58"/>
  <c r="H262" i="58"/>
  <c r="F262" i="58"/>
  <c r="Q259" i="58"/>
  <c r="Q258" i="58" s="1"/>
  <c r="N259" i="58"/>
  <c r="N258" i="58" s="1"/>
  <c r="K259" i="58"/>
  <c r="K258" i="58" s="1"/>
  <c r="E259" i="58"/>
  <c r="G259" i="58" s="1"/>
  <c r="G258" i="58" s="1"/>
  <c r="R258" i="58"/>
  <c r="P258" i="58"/>
  <c r="O258" i="58"/>
  <c r="M258" i="58"/>
  <c r="L258" i="58"/>
  <c r="J258" i="58"/>
  <c r="I258" i="58"/>
  <c r="H258" i="58"/>
  <c r="F258" i="58"/>
  <c r="Q257" i="58"/>
  <c r="N257" i="58"/>
  <c r="K257" i="58"/>
  <c r="E257" i="58"/>
  <c r="G257" i="58" s="1"/>
  <c r="Q256" i="58"/>
  <c r="N256" i="58"/>
  <c r="K256" i="58"/>
  <c r="E256" i="58"/>
  <c r="G256" i="58" s="1"/>
  <c r="Q255" i="58"/>
  <c r="Q254" i="58" s="1"/>
  <c r="N255" i="58"/>
  <c r="N254" i="58" s="1"/>
  <c r="K255" i="58"/>
  <c r="K254" i="58" s="1"/>
  <c r="E255" i="58"/>
  <c r="G255" i="58" s="1"/>
  <c r="G254" i="58" s="1"/>
  <c r="R254" i="58"/>
  <c r="P254" i="58"/>
  <c r="O254" i="58"/>
  <c r="M254" i="58"/>
  <c r="L254" i="58"/>
  <c r="J254" i="58"/>
  <c r="I254" i="58"/>
  <c r="H254" i="58"/>
  <c r="F254" i="58"/>
  <c r="Q253" i="58"/>
  <c r="N253" i="58"/>
  <c r="K253" i="58"/>
  <c r="E253" i="58"/>
  <c r="G253" i="58" s="1"/>
  <c r="Q252" i="58"/>
  <c r="N252" i="58"/>
  <c r="K252" i="58"/>
  <c r="E252" i="58"/>
  <c r="G252" i="58" s="1"/>
  <c r="Q251" i="58"/>
  <c r="Q250" i="58" s="1"/>
  <c r="N251" i="58"/>
  <c r="N250" i="58" s="1"/>
  <c r="K251" i="58"/>
  <c r="K250" i="58" s="1"/>
  <c r="E251" i="58"/>
  <c r="G251" i="58" s="1"/>
  <c r="R250" i="58"/>
  <c r="P250" i="58"/>
  <c r="O250" i="58"/>
  <c r="M250" i="58"/>
  <c r="L250" i="58"/>
  <c r="J250" i="58"/>
  <c r="I250" i="58"/>
  <c r="H250" i="58"/>
  <c r="F250" i="58"/>
  <c r="Q249" i="58"/>
  <c r="N249" i="58"/>
  <c r="K249" i="58"/>
  <c r="E249" i="58"/>
  <c r="G249" i="58" s="1"/>
  <c r="Q248" i="58"/>
  <c r="N248" i="58"/>
  <c r="K248" i="58"/>
  <c r="E248" i="58"/>
  <c r="G248" i="58" s="1"/>
  <c r="Q247" i="58"/>
  <c r="Q246" i="58" s="1"/>
  <c r="N247" i="58"/>
  <c r="N246" i="58" s="1"/>
  <c r="K247" i="58"/>
  <c r="K246" i="58" s="1"/>
  <c r="E247" i="58"/>
  <c r="G247" i="58" s="1"/>
  <c r="G246" i="58" s="1"/>
  <c r="R246" i="58"/>
  <c r="P246" i="58"/>
  <c r="O246" i="58"/>
  <c r="M246" i="58"/>
  <c r="L246" i="58"/>
  <c r="J246" i="58"/>
  <c r="I246" i="58"/>
  <c r="H246" i="58"/>
  <c r="F246" i="58"/>
  <c r="Q243" i="58"/>
  <c r="N243" i="58"/>
  <c r="K243" i="58"/>
  <c r="E243" i="58"/>
  <c r="G243" i="58" s="1"/>
  <c r="Q242" i="58"/>
  <c r="N242" i="58"/>
  <c r="K242" i="58"/>
  <c r="E242" i="58"/>
  <c r="G242" i="58" s="1"/>
  <c r="Q241" i="58"/>
  <c r="Q240" i="58" s="1"/>
  <c r="N241" i="58"/>
  <c r="N240" i="58" s="1"/>
  <c r="K241" i="58"/>
  <c r="K240" i="58" s="1"/>
  <c r="E241" i="58"/>
  <c r="G241" i="58" s="1"/>
  <c r="G240" i="58" s="1"/>
  <c r="R240" i="58"/>
  <c r="P240" i="58"/>
  <c r="O240" i="58"/>
  <c r="M240" i="58"/>
  <c r="L240" i="58"/>
  <c r="J240" i="58"/>
  <c r="I240" i="58"/>
  <c r="H240" i="58"/>
  <c r="F240" i="58"/>
  <c r="Q239" i="58"/>
  <c r="N239" i="58"/>
  <c r="K239" i="58"/>
  <c r="E239" i="58"/>
  <c r="G239" i="58" s="1"/>
  <c r="Q238" i="58"/>
  <c r="N238" i="58"/>
  <c r="K238" i="58"/>
  <c r="E238" i="58"/>
  <c r="G238" i="58" s="1"/>
  <c r="Q237" i="58"/>
  <c r="N237" i="58"/>
  <c r="K237" i="58"/>
  <c r="E237" i="58"/>
  <c r="G237" i="58" s="1"/>
  <c r="Q236" i="58"/>
  <c r="Q235" i="58" s="1"/>
  <c r="N236" i="58"/>
  <c r="N235" i="58" s="1"/>
  <c r="K236" i="58"/>
  <c r="K235" i="58" s="1"/>
  <c r="E236" i="58"/>
  <c r="G236" i="58" s="1"/>
  <c r="R235" i="58"/>
  <c r="P235" i="58"/>
  <c r="O235" i="58"/>
  <c r="M235" i="58"/>
  <c r="L235" i="58"/>
  <c r="J235" i="58"/>
  <c r="I235" i="58"/>
  <c r="H235" i="58"/>
  <c r="F235" i="58"/>
  <c r="Q234" i="58"/>
  <c r="N234" i="58"/>
  <c r="K234" i="58"/>
  <c r="E234" i="58"/>
  <c r="G234" i="58" s="1"/>
  <c r="Q233" i="58"/>
  <c r="N233" i="58"/>
  <c r="K233" i="58"/>
  <c r="E233" i="58"/>
  <c r="G233" i="58" s="1"/>
  <c r="Q232" i="58"/>
  <c r="N232" i="58"/>
  <c r="K232" i="58"/>
  <c r="E232" i="58"/>
  <c r="G232" i="58" s="1"/>
  <c r="Q231" i="58"/>
  <c r="N231" i="58"/>
  <c r="K231" i="58"/>
  <c r="E231" i="58"/>
  <c r="G231" i="58" s="1"/>
  <c r="Q230" i="58"/>
  <c r="N230" i="58"/>
  <c r="K230" i="58"/>
  <c r="E230" i="58"/>
  <c r="G230" i="58" s="1"/>
  <c r="Q229" i="58"/>
  <c r="N229" i="58"/>
  <c r="K229" i="58"/>
  <c r="E229" i="58"/>
  <c r="G229" i="58" s="1"/>
  <c r="Q228" i="58"/>
  <c r="N228" i="58"/>
  <c r="K228" i="58"/>
  <c r="E228" i="58"/>
  <c r="G228" i="58" s="1"/>
  <c r="Q227" i="58"/>
  <c r="N227" i="58"/>
  <c r="K227" i="58"/>
  <c r="E227" i="58"/>
  <c r="G227" i="58" s="1"/>
  <c r="Q226" i="58"/>
  <c r="N226" i="58"/>
  <c r="K226" i="58"/>
  <c r="E226" i="58"/>
  <c r="G226" i="58" s="1"/>
  <c r="Q225" i="58"/>
  <c r="Q224" i="58" s="1"/>
  <c r="N225" i="58"/>
  <c r="N224" i="58" s="1"/>
  <c r="K225" i="58"/>
  <c r="K224" i="58" s="1"/>
  <c r="E225" i="58"/>
  <c r="G225" i="58" s="1"/>
  <c r="R224" i="58"/>
  <c r="P224" i="58"/>
  <c r="O224" i="58"/>
  <c r="M224" i="58"/>
  <c r="L224" i="58"/>
  <c r="J224" i="58"/>
  <c r="I224" i="58"/>
  <c r="H224" i="58"/>
  <c r="F224" i="58"/>
  <c r="Q223" i="58"/>
  <c r="N223" i="58"/>
  <c r="K223" i="58"/>
  <c r="E223" i="58"/>
  <c r="G223" i="58" s="1"/>
  <c r="Q222" i="58"/>
  <c r="N222" i="58"/>
  <c r="K222" i="58"/>
  <c r="E222" i="58"/>
  <c r="G222" i="58" s="1"/>
  <c r="Q221" i="58"/>
  <c r="N221" i="58"/>
  <c r="K221" i="58"/>
  <c r="E221" i="58"/>
  <c r="G221" i="58" s="1"/>
  <c r="Q220" i="58"/>
  <c r="N220" i="58"/>
  <c r="K220" i="58"/>
  <c r="E220" i="58"/>
  <c r="G220" i="58" s="1"/>
  <c r="Q219" i="58"/>
  <c r="N219" i="58"/>
  <c r="K219" i="58"/>
  <c r="E219" i="58"/>
  <c r="G219" i="58" s="1"/>
  <c r="Q218" i="58"/>
  <c r="N218" i="58"/>
  <c r="K218" i="58"/>
  <c r="E218" i="58"/>
  <c r="G218" i="58" s="1"/>
  <c r="Q217" i="58"/>
  <c r="N217" i="58"/>
  <c r="K217" i="58"/>
  <c r="E217" i="58"/>
  <c r="G217" i="58" s="1"/>
  <c r="Q216" i="58"/>
  <c r="N216" i="58"/>
  <c r="K216" i="58"/>
  <c r="E216" i="58"/>
  <c r="G216" i="58" s="1"/>
  <c r="Q215" i="58"/>
  <c r="N215" i="58"/>
  <c r="K215" i="58"/>
  <c r="E215" i="58"/>
  <c r="G215" i="58" s="1"/>
  <c r="Q214" i="58"/>
  <c r="N214" i="58"/>
  <c r="K214" i="58"/>
  <c r="E214" i="58"/>
  <c r="G214" i="58" s="1"/>
  <c r="Q213" i="58"/>
  <c r="N213" i="58"/>
  <c r="K213" i="58"/>
  <c r="E213" i="58"/>
  <c r="G213" i="58" s="1"/>
  <c r="Q212" i="58"/>
  <c r="N212" i="58"/>
  <c r="K212" i="58"/>
  <c r="E212" i="58"/>
  <c r="G212" i="58" s="1"/>
  <c r="Q211" i="58"/>
  <c r="N211" i="58"/>
  <c r="K211" i="58"/>
  <c r="E211" i="58"/>
  <c r="G211" i="58" s="1"/>
  <c r="Q210" i="58"/>
  <c r="N210" i="58"/>
  <c r="K210" i="58"/>
  <c r="E210" i="58"/>
  <c r="G210" i="58" s="1"/>
  <c r="Q209" i="58"/>
  <c r="N209" i="58"/>
  <c r="K209" i="58"/>
  <c r="E209" i="58"/>
  <c r="G209" i="58" s="1"/>
  <c r="Q208" i="58"/>
  <c r="Q207" i="58" s="1"/>
  <c r="N208" i="58"/>
  <c r="N207" i="58" s="1"/>
  <c r="K208" i="58"/>
  <c r="E208" i="58"/>
  <c r="G208" i="58" s="1"/>
  <c r="R207" i="58"/>
  <c r="P207" i="58"/>
  <c r="O207" i="58"/>
  <c r="M207" i="58"/>
  <c r="L207" i="58"/>
  <c r="J207" i="58"/>
  <c r="I207" i="58"/>
  <c r="H207" i="58"/>
  <c r="F207" i="58"/>
  <c r="Q204" i="58"/>
  <c r="N204" i="58"/>
  <c r="K204" i="58"/>
  <c r="E204" i="58"/>
  <c r="G204" i="58" s="1"/>
  <c r="Q203" i="58"/>
  <c r="N203" i="58"/>
  <c r="K203" i="58"/>
  <c r="E203" i="58"/>
  <c r="G203" i="58" s="1"/>
  <c r="Q201" i="58"/>
  <c r="Q200" i="58" s="1"/>
  <c r="N201" i="58"/>
  <c r="K201" i="58"/>
  <c r="K200" i="58" s="1"/>
  <c r="E201" i="58"/>
  <c r="G201" i="58" s="1"/>
  <c r="G200" i="58" s="1"/>
  <c r="R200" i="58"/>
  <c r="P200" i="58"/>
  <c r="O200" i="58"/>
  <c r="N200" i="58"/>
  <c r="M200" i="58"/>
  <c r="L200" i="58"/>
  <c r="J200" i="58"/>
  <c r="I200" i="58"/>
  <c r="H200" i="58"/>
  <c r="F200" i="58"/>
  <c r="Q199" i="58"/>
  <c r="N199" i="58"/>
  <c r="K199" i="58"/>
  <c r="E199" i="58"/>
  <c r="G199" i="58" s="1"/>
  <c r="Q198" i="58"/>
  <c r="N198" i="58"/>
  <c r="K198" i="58"/>
  <c r="E198" i="58"/>
  <c r="G198" i="58" s="1"/>
  <c r="Q197" i="58"/>
  <c r="N197" i="58"/>
  <c r="K197" i="58"/>
  <c r="E197" i="58"/>
  <c r="G197" i="58" s="1"/>
  <c r="Q196" i="58"/>
  <c r="Q195" i="58" s="1"/>
  <c r="N196" i="58"/>
  <c r="K196" i="58"/>
  <c r="K195" i="58" s="1"/>
  <c r="E196" i="58"/>
  <c r="G196" i="58" s="1"/>
  <c r="G195" i="58" s="1"/>
  <c r="R195" i="58"/>
  <c r="P195" i="58"/>
  <c r="O195" i="58"/>
  <c r="N195" i="58"/>
  <c r="M195" i="58"/>
  <c r="L195" i="58"/>
  <c r="J195" i="58"/>
  <c r="I195" i="58"/>
  <c r="H195" i="58"/>
  <c r="F195" i="58"/>
  <c r="Q194" i="58"/>
  <c r="N194" i="58"/>
  <c r="K194" i="58"/>
  <c r="E194" i="58"/>
  <c r="G194" i="58" s="1"/>
  <c r="Q193" i="58"/>
  <c r="N193" i="58"/>
  <c r="K193" i="58"/>
  <c r="E193" i="58"/>
  <c r="G193" i="58" s="1"/>
  <c r="Q192" i="58"/>
  <c r="N192" i="58"/>
  <c r="K192" i="58"/>
  <c r="E192" i="58"/>
  <c r="G192" i="58" s="1"/>
  <c r="Q191" i="58"/>
  <c r="N191" i="58"/>
  <c r="K191" i="58"/>
  <c r="E191" i="58"/>
  <c r="G191" i="58" s="1"/>
  <c r="Q190" i="58"/>
  <c r="N190" i="58"/>
  <c r="K190" i="58"/>
  <c r="E190" i="58"/>
  <c r="G190" i="58" s="1"/>
  <c r="Q189" i="58"/>
  <c r="N189" i="58"/>
  <c r="K189" i="58"/>
  <c r="E189" i="58"/>
  <c r="G189" i="58" s="1"/>
  <c r="Q188" i="58"/>
  <c r="N188" i="58"/>
  <c r="K188" i="58"/>
  <c r="E188" i="58"/>
  <c r="G188" i="58" s="1"/>
  <c r="Q187" i="58"/>
  <c r="N187" i="58"/>
  <c r="K187" i="58"/>
  <c r="E187" i="58"/>
  <c r="G187" i="58" s="1"/>
  <c r="Q186" i="58"/>
  <c r="K186" i="58"/>
  <c r="E186" i="58"/>
  <c r="G186" i="58" s="1"/>
  <c r="Q185" i="58"/>
  <c r="K185" i="58"/>
  <c r="E185" i="58"/>
  <c r="G185" i="58" s="1"/>
  <c r="R184" i="58"/>
  <c r="P184" i="58"/>
  <c r="O184" i="58"/>
  <c r="M184" i="58"/>
  <c r="L184" i="58"/>
  <c r="J184" i="58"/>
  <c r="I184" i="58"/>
  <c r="H184" i="58"/>
  <c r="F184" i="58"/>
  <c r="Q183" i="58"/>
  <c r="N183" i="58"/>
  <c r="K183" i="58"/>
  <c r="E183" i="58"/>
  <c r="G183" i="58" s="1"/>
  <c r="Q182" i="58"/>
  <c r="N182" i="58"/>
  <c r="K182" i="58"/>
  <c r="E182" i="58"/>
  <c r="G182" i="58" s="1"/>
  <c r="Q181" i="58"/>
  <c r="N181" i="58"/>
  <c r="K181" i="58"/>
  <c r="E181" i="58"/>
  <c r="G181" i="58" s="1"/>
  <c r="Q180" i="58"/>
  <c r="N180" i="58"/>
  <c r="K180" i="58"/>
  <c r="E180" i="58"/>
  <c r="G180" i="58" s="1"/>
  <c r="Q179" i="58"/>
  <c r="N179" i="58"/>
  <c r="K179" i="58"/>
  <c r="E179" i="58"/>
  <c r="G179" i="58" s="1"/>
  <c r="Q178" i="58"/>
  <c r="N178" i="58"/>
  <c r="K178" i="58"/>
  <c r="E178" i="58"/>
  <c r="G178" i="58" s="1"/>
  <c r="Q177" i="58"/>
  <c r="N177" i="58"/>
  <c r="K177" i="58"/>
  <c r="E177" i="58"/>
  <c r="G177" i="58" s="1"/>
  <c r="Q176" i="58"/>
  <c r="N176" i="58"/>
  <c r="K176" i="58"/>
  <c r="E176" i="58"/>
  <c r="G176" i="58" s="1"/>
  <c r="Q175" i="58"/>
  <c r="N175" i="58"/>
  <c r="K175" i="58"/>
  <c r="E175" i="58"/>
  <c r="G175" i="58" s="1"/>
  <c r="Q174" i="58"/>
  <c r="N174" i="58"/>
  <c r="K174" i="58"/>
  <c r="E174" i="58"/>
  <c r="G174" i="58" s="1"/>
  <c r="Q173" i="58"/>
  <c r="N173" i="58"/>
  <c r="K173" i="58"/>
  <c r="E173" i="58"/>
  <c r="G173" i="58" s="1"/>
  <c r="Q172" i="58"/>
  <c r="N172" i="58"/>
  <c r="K172" i="58"/>
  <c r="E172" i="58"/>
  <c r="G172" i="58" s="1"/>
  <c r="Q171" i="58"/>
  <c r="N171" i="58"/>
  <c r="K171" i="58"/>
  <c r="E171" i="58"/>
  <c r="G171" i="58" s="1"/>
  <c r="Q170" i="58"/>
  <c r="N170" i="58"/>
  <c r="K170" i="58"/>
  <c r="E170" i="58"/>
  <c r="G170" i="58" s="1"/>
  <c r="Q169" i="58"/>
  <c r="N169" i="58"/>
  <c r="K169" i="58"/>
  <c r="E169" i="58"/>
  <c r="G169" i="58" s="1"/>
  <c r="Q168" i="58"/>
  <c r="N168" i="58"/>
  <c r="K168" i="58"/>
  <c r="E168" i="58"/>
  <c r="G168" i="58" s="1"/>
  <c r="Q167" i="58"/>
  <c r="N167" i="58"/>
  <c r="K167" i="58"/>
  <c r="E167" i="58"/>
  <c r="G167" i="58" s="1"/>
  <c r="Q166" i="58"/>
  <c r="N166" i="58"/>
  <c r="K166" i="58"/>
  <c r="E166" i="58"/>
  <c r="G166" i="58" s="1"/>
  <c r="Q165" i="58"/>
  <c r="N165" i="58"/>
  <c r="K165" i="58"/>
  <c r="E165" i="58"/>
  <c r="G165" i="58" s="1"/>
  <c r="R164" i="58"/>
  <c r="P164" i="58"/>
  <c r="O164" i="58"/>
  <c r="M164" i="58"/>
  <c r="L164" i="58"/>
  <c r="J164" i="58"/>
  <c r="I164" i="58"/>
  <c r="H164" i="58"/>
  <c r="F164" i="58"/>
  <c r="K161" i="58"/>
  <c r="K160" i="58" s="1"/>
  <c r="E161" i="58"/>
  <c r="G161" i="58" s="1"/>
  <c r="G160" i="58" s="1"/>
  <c r="R160" i="58"/>
  <c r="P160" i="58"/>
  <c r="O160" i="58"/>
  <c r="M160" i="58"/>
  <c r="L160" i="58"/>
  <c r="J160" i="58"/>
  <c r="I160" i="58"/>
  <c r="H160" i="58"/>
  <c r="F160" i="58"/>
  <c r="Q159" i="58"/>
  <c r="N159" i="58"/>
  <c r="K159" i="58"/>
  <c r="E159" i="58"/>
  <c r="G159" i="58" s="1"/>
  <c r="Q158" i="58"/>
  <c r="N158" i="58"/>
  <c r="K158" i="58"/>
  <c r="E158" i="58"/>
  <c r="G158" i="58" s="1"/>
  <c r="Q157" i="58"/>
  <c r="N157" i="58"/>
  <c r="K157" i="58"/>
  <c r="E157" i="58"/>
  <c r="G157" i="58" s="1"/>
  <c r="Q156" i="58"/>
  <c r="N156" i="58"/>
  <c r="K156" i="58"/>
  <c r="E156" i="58"/>
  <c r="G156" i="58" s="1"/>
  <c r="Q155" i="58"/>
  <c r="N155" i="58"/>
  <c r="K155" i="58"/>
  <c r="E155" i="58"/>
  <c r="G155" i="58" s="1"/>
  <c r="Q154" i="58"/>
  <c r="N154" i="58"/>
  <c r="K154" i="58"/>
  <c r="E154" i="58"/>
  <c r="G154" i="58" s="1"/>
  <c r="Q153" i="58"/>
  <c r="N153" i="58"/>
  <c r="K153" i="58"/>
  <c r="E153" i="58"/>
  <c r="G153" i="58" s="1"/>
  <c r="Q152" i="58"/>
  <c r="N152" i="58"/>
  <c r="K152" i="58"/>
  <c r="E152" i="58"/>
  <c r="G152" i="58" s="1"/>
  <c r="Q151" i="58"/>
  <c r="N151" i="58"/>
  <c r="K151" i="58"/>
  <c r="E151" i="58"/>
  <c r="G151" i="58" s="1"/>
  <c r="Q150" i="58"/>
  <c r="N150" i="58"/>
  <c r="K150" i="58"/>
  <c r="E150" i="58"/>
  <c r="G150" i="58" s="1"/>
  <c r="Q149" i="58"/>
  <c r="N149" i="58"/>
  <c r="K149" i="58"/>
  <c r="E149" i="58"/>
  <c r="G149" i="58" s="1"/>
  <c r="Q148" i="58"/>
  <c r="N148" i="58"/>
  <c r="K148" i="58"/>
  <c r="E148" i="58"/>
  <c r="G148" i="58" s="1"/>
  <c r="Q147" i="58"/>
  <c r="N147" i="58"/>
  <c r="K147" i="58"/>
  <c r="E147" i="58"/>
  <c r="G147" i="58" s="1"/>
  <c r="Q146" i="58"/>
  <c r="N146" i="58"/>
  <c r="K146" i="58"/>
  <c r="E146" i="58"/>
  <c r="G146" i="58" s="1"/>
  <c r="Q145" i="58"/>
  <c r="N145" i="58"/>
  <c r="K145" i="58"/>
  <c r="E145" i="58"/>
  <c r="G145" i="58" s="1"/>
  <c r="Q144" i="58"/>
  <c r="N144" i="58"/>
  <c r="K144" i="58"/>
  <c r="E144" i="58"/>
  <c r="G144" i="58" s="1"/>
  <c r="R143" i="58"/>
  <c r="P143" i="58"/>
  <c r="O143" i="58"/>
  <c r="M143" i="58"/>
  <c r="L143" i="58"/>
  <c r="J143" i="58"/>
  <c r="I143" i="58"/>
  <c r="H143" i="58"/>
  <c r="F143" i="58"/>
  <c r="Q142" i="58"/>
  <c r="L142" i="58"/>
  <c r="T142" i="58" s="1"/>
  <c r="K142" i="58"/>
  <c r="E142" i="58"/>
  <c r="G142" i="58" s="1"/>
  <c r="Q141" i="58"/>
  <c r="N141" i="58"/>
  <c r="K141" i="58"/>
  <c r="E141" i="58"/>
  <c r="G141" i="58" s="1"/>
  <c r="Q140" i="58"/>
  <c r="N140" i="58"/>
  <c r="K140" i="58"/>
  <c r="E140" i="58"/>
  <c r="G140" i="58" s="1"/>
  <c r="Q139" i="58"/>
  <c r="Q138" i="58" s="1"/>
  <c r="N139" i="58"/>
  <c r="N138" i="58" s="1"/>
  <c r="K139" i="58"/>
  <c r="K138" i="58" s="1"/>
  <c r="E139" i="58"/>
  <c r="G139" i="58" s="1"/>
  <c r="R138" i="58"/>
  <c r="P138" i="58"/>
  <c r="O138" i="58"/>
  <c r="M138" i="58"/>
  <c r="L138" i="58"/>
  <c r="J138" i="58"/>
  <c r="I138" i="58"/>
  <c r="H138" i="58"/>
  <c r="F138" i="58"/>
  <c r="Q134" i="58"/>
  <c r="N134" i="58"/>
  <c r="Q133" i="58"/>
  <c r="N133" i="58"/>
  <c r="K133" i="58"/>
  <c r="E133" i="58"/>
  <c r="G133" i="58" s="1"/>
  <c r="Q132" i="58"/>
  <c r="N132" i="58"/>
  <c r="K132" i="58"/>
  <c r="E132" i="58"/>
  <c r="G132" i="58" s="1"/>
  <c r="Q131" i="58"/>
  <c r="N131" i="58"/>
  <c r="K131" i="58"/>
  <c r="E131" i="58"/>
  <c r="G131" i="58" s="1"/>
  <c r="Q130" i="58"/>
  <c r="N130" i="58"/>
  <c r="K130" i="58"/>
  <c r="E130" i="58"/>
  <c r="G130" i="58" s="1"/>
  <c r="Q129" i="58"/>
  <c r="N129" i="58"/>
  <c r="K129" i="58"/>
  <c r="E129" i="58"/>
  <c r="G129" i="58" s="1"/>
  <c r="Q128" i="58"/>
  <c r="N128" i="58"/>
  <c r="K128" i="58"/>
  <c r="E128" i="58"/>
  <c r="G128" i="58" s="1"/>
  <c r="Q127" i="58"/>
  <c r="N127" i="58"/>
  <c r="K127" i="58"/>
  <c r="E127" i="58"/>
  <c r="G127" i="58" s="1"/>
  <c r="Q126" i="58"/>
  <c r="N126" i="58"/>
  <c r="K126" i="58"/>
  <c r="E126" i="58"/>
  <c r="G126" i="58" s="1"/>
  <c r="Q125" i="58"/>
  <c r="N125" i="58"/>
  <c r="K125" i="58"/>
  <c r="E125" i="58"/>
  <c r="G125" i="58" s="1"/>
  <c r="Q124" i="58"/>
  <c r="N124" i="58"/>
  <c r="K124" i="58"/>
  <c r="E124" i="58"/>
  <c r="G124" i="58" s="1"/>
  <c r="Q123" i="58"/>
  <c r="N123" i="58"/>
  <c r="K123" i="58"/>
  <c r="E123" i="58"/>
  <c r="G123" i="58" s="1"/>
  <c r="Q122" i="58"/>
  <c r="N122" i="58"/>
  <c r="K122" i="58"/>
  <c r="E122" i="58"/>
  <c r="G122" i="58" s="1"/>
  <c r="Q121" i="58"/>
  <c r="N121" i="58"/>
  <c r="K121" i="58"/>
  <c r="E121" i="58"/>
  <c r="G121" i="58" s="1"/>
  <c r="Q120" i="58"/>
  <c r="N120" i="58"/>
  <c r="K120" i="58"/>
  <c r="E120" i="58"/>
  <c r="G120" i="58" s="1"/>
  <c r="Q119" i="58"/>
  <c r="N119" i="58"/>
  <c r="K119" i="58"/>
  <c r="E119" i="58"/>
  <c r="G119" i="58" s="1"/>
  <c r="Q118" i="58"/>
  <c r="N118" i="58"/>
  <c r="K118" i="58"/>
  <c r="E118" i="58"/>
  <c r="G118" i="58" s="1"/>
  <c r="Q117" i="58"/>
  <c r="N117" i="58"/>
  <c r="K117" i="58"/>
  <c r="E117" i="58"/>
  <c r="G117" i="58" s="1"/>
  <c r="Q116" i="58"/>
  <c r="N116" i="58"/>
  <c r="K116" i="58"/>
  <c r="E116" i="58"/>
  <c r="G116" i="58" s="1"/>
  <c r="Q115" i="58"/>
  <c r="N115" i="58"/>
  <c r="K115" i="58"/>
  <c r="E115" i="58"/>
  <c r="G115" i="58" s="1"/>
  <c r="Q114" i="58"/>
  <c r="N114" i="58"/>
  <c r="K114" i="58"/>
  <c r="E114" i="58"/>
  <c r="G114" i="58" s="1"/>
  <c r="Q113" i="58"/>
  <c r="N113" i="58"/>
  <c r="K113" i="58"/>
  <c r="E113" i="58"/>
  <c r="G113" i="58" s="1"/>
  <c r="Q112" i="58"/>
  <c r="N112" i="58"/>
  <c r="K112" i="58"/>
  <c r="E112" i="58"/>
  <c r="G112" i="58" s="1"/>
  <c r="Q111" i="58"/>
  <c r="N111" i="58"/>
  <c r="K111" i="58"/>
  <c r="E111" i="58"/>
  <c r="G111" i="58" s="1"/>
  <c r="R110" i="58"/>
  <c r="P110" i="58"/>
  <c r="O110" i="58"/>
  <c r="M110" i="58"/>
  <c r="L110" i="58"/>
  <c r="J110" i="58"/>
  <c r="I110" i="58"/>
  <c r="H110" i="58"/>
  <c r="F110" i="58"/>
  <c r="Q109" i="58"/>
  <c r="N109" i="58"/>
  <c r="K109" i="58"/>
  <c r="E109" i="58"/>
  <c r="G109" i="58" s="1"/>
  <c r="Q108" i="58"/>
  <c r="N108" i="58"/>
  <c r="N107" i="58" s="1"/>
  <c r="K108" i="58"/>
  <c r="K107" i="58" s="1"/>
  <c r="R107" i="58"/>
  <c r="Q107" i="58"/>
  <c r="P107" i="58"/>
  <c r="O107" i="58"/>
  <c r="M107" i="58"/>
  <c r="L107" i="58"/>
  <c r="J107" i="58"/>
  <c r="I107" i="58"/>
  <c r="H107" i="58"/>
  <c r="G107" i="58"/>
  <c r="F107" i="58"/>
  <c r="E107" i="58"/>
  <c r="Q106" i="58"/>
  <c r="N106" i="58"/>
  <c r="K106" i="58"/>
  <c r="E106" i="58"/>
  <c r="G106" i="58" s="1"/>
  <c r="Q105" i="58"/>
  <c r="N105" i="58"/>
  <c r="K105" i="58"/>
  <c r="E105" i="58"/>
  <c r="G105" i="58" s="1"/>
  <c r="Q104" i="58"/>
  <c r="N104" i="58"/>
  <c r="K104" i="58"/>
  <c r="E104" i="58"/>
  <c r="G104" i="58" s="1"/>
  <c r="Q103" i="58"/>
  <c r="N103" i="58"/>
  <c r="K103" i="58"/>
  <c r="E103" i="58"/>
  <c r="G103" i="58" s="1"/>
  <c r="Q102" i="58"/>
  <c r="Q101" i="58" s="1"/>
  <c r="N102" i="58"/>
  <c r="K102" i="58"/>
  <c r="K101" i="58" s="1"/>
  <c r="E102" i="58"/>
  <c r="G102" i="58" s="1"/>
  <c r="R101" i="58"/>
  <c r="P101" i="58"/>
  <c r="O101" i="58"/>
  <c r="N101" i="58"/>
  <c r="M101" i="58"/>
  <c r="L101" i="58"/>
  <c r="J101" i="58"/>
  <c r="I101" i="58"/>
  <c r="H101" i="58"/>
  <c r="F101" i="58"/>
  <c r="Q100" i="58"/>
  <c r="N100" i="58"/>
  <c r="K100" i="58"/>
  <c r="E100" i="58"/>
  <c r="G100" i="58" s="1"/>
  <c r="Q99" i="58"/>
  <c r="N99" i="58"/>
  <c r="K99" i="58"/>
  <c r="E99" i="58"/>
  <c r="G99" i="58" s="1"/>
  <c r="N98" i="58"/>
  <c r="K98" i="58"/>
  <c r="E98" i="58"/>
  <c r="G98" i="58" s="1"/>
  <c r="Q96" i="58"/>
  <c r="N96" i="58"/>
  <c r="K96" i="58"/>
  <c r="E96" i="58"/>
  <c r="G96" i="58" s="1"/>
  <c r="Q95" i="58"/>
  <c r="N95" i="58"/>
  <c r="K95" i="58"/>
  <c r="E95" i="58"/>
  <c r="G95" i="58" s="1"/>
  <c r="Q94" i="58"/>
  <c r="N94" i="58"/>
  <c r="K94" i="58"/>
  <c r="E94" i="58"/>
  <c r="G94" i="58" s="1"/>
  <c r="Q93" i="58"/>
  <c r="N93" i="58"/>
  <c r="K93" i="58"/>
  <c r="E93" i="58"/>
  <c r="G93" i="58" s="1"/>
  <c r="Q92" i="58"/>
  <c r="N92" i="58"/>
  <c r="K92" i="58"/>
  <c r="E92" i="58"/>
  <c r="G92" i="58" s="1"/>
  <c r="Q91" i="58"/>
  <c r="N91" i="58"/>
  <c r="K91" i="58"/>
  <c r="E91" i="58"/>
  <c r="G91" i="58" s="1"/>
  <c r="Q90" i="58"/>
  <c r="N90" i="58"/>
  <c r="K90" i="58"/>
  <c r="E90" i="58"/>
  <c r="G90" i="58" s="1"/>
  <c r="Q89" i="58"/>
  <c r="N89" i="58"/>
  <c r="K89" i="58"/>
  <c r="E89" i="58"/>
  <c r="G89" i="58" s="1"/>
  <c r="Q88" i="58"/>
  <c r="N88" i="58"/>
  <c r="K88" i="58"/>
  <c r="E88" i="58"/>
  <c r="G88" i="58" s="1"/>
  <c r="Q87" i="58"/>
  <c r="N87" i="58"/>
  <c r="K87" i="58"/>
  <c r="E87" i="58"/>
  <c r="G87" i="58" s="1"/>
  <c r="Q86" i="58"/>
  <c r="N86" i="58"/>
  <c r="K86" i="58"/>
  <c r="E86" i="58"/>
  <c r="G86" i="58" s="1"/>
  <c r="Q85" i="58"/>
  <c r="N85" i="58"/>
  <c r="K85" i="58"/>
  <c r="E85" i="58"/>
  <c r="G85" i="58" s="1"/>
  <c r="Q84" i="58"/>
  <c r="N84" i="58"/>
  <c r="K84" i="58"/>
  <c r="E84" i="58"/>
  <c r="G84" i="58" s="1"/>
  <c r="Q83" i="58"/>
  <c r="N83" i="58"/>
  <c r="K83" i="58"/>
  <c r="E83" i="58"/>
  <c r="G83" i="58" s="1"/>
  <c r="Q82" i="58"/>
  <c r="N82" i="58"/>
  <c r="K82" i="58"/>
  <c r="E82" i="58"/>
  <c r="G82" i="58" s="1"/>
  <c r="Q80" i="58"/>
  <c r="N80" i="58"/>
  <c r="K80" i="58"/>
  <c r="E80" i="58"/>
  <c r="G80" i="58" s="1"/>
  <c r="Q79" i="58"/>
  <c r="N79" i="58"/>
  <c r="K79" i="58"/>
  <c r="E79" i="58"/>
  <c r="G79" i="58" s="1"/>
  <c r="Q78" i="58"/>
  <c r="N78" i="58"/>
  <c r="K78" i="58"/>
  <c r="E78" i="58"/>
  <c r="G78" i="58" s="1"/>
  <c r="Q77" i="58"/>
  <c r="N77" i="58"/>
  <c r="K77" i="58"/>
  <c r="E77" i="58"/>
  <c r="G77" i="58" s="1"/>
  <c r="Q76" i="58"/>
  <c r="N76" i="58"/>
  <c r="K76" i="58"/>
  <c r="E76" i="58"/>
  <c r="G76" i="58" s="1"/>
  <c r="Q75" i="58"/>
  <c r="N75" i="58"/>
  <c r="K75" i="58"/>
  <c r="E75" i="58"/>
  <c r="G75" i="58" s="1"/>
  <c r="Q74" i="58"/>
  <c r="N74" i="58"/>
  <c r="K74" i="58"/>
  <c r="E74" i="58"/>
  <c r="G74" i="58" s="1"/>
  <c r="N73" i="58"/>
  <c r="K73" i="58"/>
  <c r="E73" i="58"/>
  <c r="G73" i="58" s="1"/>
  <c r="Q72" i="58"/>
  <c r="N72" i="58"/>
  <c r="K72" i="58"/>
  <c r="E72" i="58"/>
  <c r="G72" i="58" s="1"/>
  <c r="Q71" i="58"/>
  <c r="N71" i="58"/>
  <c r="K71" i="58"/>
  <c r="E71" i="58"/>
  <c r="G71" i="58" s="1"/>
  <c r="Q70" i="58"/>
  <c r="N70" i="58"/>
  <c r="K70" i="58"/>
  <c r="E70" i="58"/>
  <c r="G70" i="58" s="1"/>
  <c r="Q69" i="58"/>
  <c r="N69" i="58"/>
  <c r="K69" i="58"/>
  <c r="E69" i="58"/>
  <c r="G69" i="58" s="1"/>
  <c r="N68" i="58"/>
  <c r="K68" i="58"/>
  <c r="E68" i="58"/>
  <c r="G68" i="58" s="1"/>
  <c r="Q67" i="58"/>
  <c r="N67" i="58"/>
  <c r="K67" i="58"/>
  <c r="E67" i="58"/>
  <c r="G67" i="58" s="1"/>
  <c r="Q66" i="58"/>
  <c r="N66" i="58"/>
  <c r="K66" i="58"/>
  <c r="E66" i="58"/>
  <c r="G66" i="58" s="1"/>
  <c r="Q65" i="58"/>
  <c r="N65" i="58"/>
  <c r="K65" i="58"/>
  <c r="E65" i="58"/>
  <c r="G65" i="58" s="1"/>
  <c r="Q64" i="58"/>
  <c r="N64" i="58"/>
  <c r="K64" i="58"/>
  <c r="E64" i="58"/>
  <c r="G64" i="58" s="1"/>
  <c r="Q63" i="58"/>
  <c r="N63" i="58"/>
  <c r="K63" i="58"/>
  <c r="E63" i="58"/>
  <c r="G63" i="58" s="1"/>
  <c r="Q62" i="58"/>
  <c r="N62" i="58"/>
  <c r="K62" i="58"/>
  <c r="E62" i="58"/>
  <c r="G62" i="58" s="1"/>
  <c r="R61" i="58"/>
  <c r="P61" i="58"/>
  <c r="O61" i="58"/>
  <c r="M61" i="58"/>
  <c r="L61" i="58"/>
  <c r="J61" i="58"/>
  <c r="I61" i="58"/>
  <c r="H61" i="58"/>
  <c r="F61" i="58"/>
  <c r="Q59" i="58"/>
  <c r="N59" i="58"/>
  <c r="K59" i="58"/>
  <c r="E59" i="58"/>
  <c r="G59" i="58" s="1"/>
  <c r="Q58" i="58"/>
  <c r="N58" i="58"/>
  <c r="K58" i="58"/>
  <c r="E58" i="58"/>
  <c r="G58" i="58" s="1"/>
  <c r="Q57" i="58"/>
  <c r="N57" i="58"/>
  <c r="K57" i="58"/>
  <c r="E57" i="58"/>
  <c r="G57" i="58" s="1"/>
  <c r="Q56" i="58"/>
  <c r="N56" i="58"/>
  <c r="K56" i="58"/>
  <c r="E56" i="58"/>
  <c r="G56" i="58" s="1"/>
  <c r="Q55" i="58"/>
  <c r="N55" i="58"/>
  <c r="K55" i="58"/>
  <c r="E55" i="58"/>
  <c r="G55" i="58" s="1"/>
  <c r="Q54" i="58"/>
  <c r="N54" i="58"/>
  <c r="K54" i="58"/>
  <c r="E54" i="58"/>
  <c r="G54" i="58" s="1"/>
  <c r="Q53" i="58"/>
  <c r="N53" i="58"/>
  <c r="K53" i="58"/>
  <c r="E53" i="58"/>
  <c r="G53" i="58" s="1"/>
  <c r="Q52" i="58"/>
  <c r="N52" i="58"/>
  <c r="K52" i="58"/>
  <c r="E52" i="58"/>
  <c r="G52" i="58" s="1"/>
  <c r="Q51" i="58"/>
  <c r="N51" i="58"/>
  <c r="K51" i="58"/>
  <c r="E51" i="58"/>
  <c r="G51" i="58" s="1"/>
  <c r="Q50" i="58"/>
  <c r="N50" i="58"/>
  <c r="K50" i="58"/>
  <c r="E50" i="58"/>
  <c r="G50" i="58" s="1"/>
  <c r="Q49" i="58"/>
  <c r="N49" i="58"/>
  <c r="K49" i="58"/>
  <c r="E49" i="58"/>
  <c r="G49" i="58" s="1"/>
  <c r="Q48" i="58"/>
  <c r="N48" i="58"/>
  <c r="K48" i="58"/>
  <c r="E48" i="58"/>
  <c r="G48" i="58" s="1"/>
  <c r="Q47" i="58"/>
  <c r="N47" i="58"/>
  <c r="K47" i="58"/>
  <c r="E47" i="58"/>
  <c r="G47" i="58" s="1"/>
  <c r="Q46" i="58"/>
  <c r="N46" i="58"/>
  <c r="K46" i="58"/>
  <c r="E46" i="58"/>
  <c r="Q45" i="58"/>
  <c r="N45" i="58"/>
  <c r="K45" i="58"/>
  <c r="E45" i="58"/>
  <c r="Q44" i="58"/>
  <c r="N44" i="58"/>
  <c r="K44" i="58"/>
  <c r="E44" i="58"/>
  <c r="Q43" i="58"/>
  <c r="N43" i="58"/>
  <c r="K43" i="58"/>
  <c r="E43" i="58"/>
  <c r="G43" i="58" s="1"/>
  <c r="Q42" i="58"/>
  <c r="N42" i="58"/>
  <c r="K42" i="58"/>
  <c r="E42" i="58"/>
  <c r="G42" i="58" s="1"/>
  <c r="Q41" i="58"/>
  <c r="N41" i="58"/>
  <c r="K41" i="58"/>
  <c r="E41" i="58"/>
  <c r="G41" i="58" s="1"/>
  <c r="Q40" i="58"/>
  <c r="N40" i="58"/>
  <c r="K40" i="58"/>
  <c r="E40" i="58"/>
  <c r="G40" i="58" s="1"/>
  <c r="Q39" i="58"/>
  <c r="N39" i="58"/>
  <c r="K39" i="58"/>
  <c r="E39" i="58"/>
  <c r="G39" i="58" s="1"/>
  <c r="Q38" i="58"/>
  <c r="N38" i="58"/>
  <c r="K38" i="58"/>
  <c r="E38" i="58"/>
  <c r="G38" i="58" s="1"/>
  <c r="Q37" i="58"/>
  <c r="N37" i="58"/>
  <c r="K37" i="58"/>
  <c r="E37" i="58"/>
  <c r="G37" i="58" s="1"/>
  <c r="Q36" i="58"/>
  <c r="N36" i="58"/>
  <c r="K36" i="58"/>
  <c r="E36" i="58"/>
  <c r="G36" i="58" s="1"/>
  <c r="Q35" i="58"/>
  <c r="N35" i="58"/>
  <c r="K35" i="58"/>
  <c r="E35" i="58"/>
  <c r="G35" i="58" s="1"/>
  <c r="Q34" i="58"/>
  <c r="N34" i="58"/>
  <c r="K34" i="58"/>
  <c r="E34" i="58"/>
  <c r="G34" i="58" s="1"/>
  <c r="Q33" i="58"/>
  <c r="N33" i="58"/>
  <c r="K33" i="58"/>
  <c r="E33" i="58"/>
  <c r="G33" i="58" s="1"/>
  <c r="Q32" i="58"/>
  <c r="N32" i="58"/>
  <c r="K32" i="58"/>
  <c r="E32" i="58"/>
  <c r="G32" i="58" s="1"/>
  <c r="Q31" i="58"/>
  <c r="Q30" i="58" s="1"/>
  <c r="N31" i="58"/>
  <c r="N30" i="58" s="1"/>
  <c r="K31" i="58"/>
  <c r="K30" i="58" s="1"/>
  <c r="E31" i="58"/>
  <c r="G31" i="58" s="1"/>
  <c r="H30" i="58"/>
  <c r="F30" i="58"/>
  <c r="Q29" i="58"/>
  <c r="N29" i="58"/>
  <c r="K29" i="58"/>
  <c r="E29" i="58"/>
  <c r="G29" i="58" s="1"/>
  <c r="Q28" i="58"/>
  <c r="N28" i="58"/>
  <c r="K28" i="58"/>
  <c r="E28" i="58"/>
  <c r="G28" i="58" s="1"/>
  <c r="Q27" i="58"/>
  <c r="N27" i="58"/>
  <c r="K27" i="58"/>
  <c r="E27" i="58"/>
  <c r="G27" i="58" s="1"/>
  <c r="Q26" i="58"/>
  <c r="N26" i="58"/>
  <c r="K26" i="58"/>
  <c r="E26" i="58"/>
  <c r="G26" i="58" s="1"/>
  <c r="Q25" i="58"/>
  <c r="N25" i="58"/>
  <c r="K25" i="58"/>
  <c r="E25" i="58"/>
  <c r="G25" i="58" s="1"/>
  <c r="Q24" i="58"/>
  <c r="N24" i="58"/>
  <c r="K24" i="58"/>
  <c r="E24" i="58"/>
  <c r="G24" i="58" s="1"/>
  <c r="N23" i="58"/>
  <c r="K23" i="58"/>
  <c r="E23" i="58"/>
  <c r="G23" i="58" s="1"/>
  <c r="R22" i="58"/>
  <c r="P22" i="58"/>
  <c r="M22" i="58"/>
  <c r="L22" i="58"/>
  <c r="J22" i="58"/>
  <c r="I22" i="58"/>
  <c r="H22" i="58"/>
  <c r="F22" i="58"/>
  <c r="Q21" i="58"/>
  <c r="N21" i="58"/>
  <c r="K21" i="58"/>
  <c r="E21" i="58"/>
  <c r="G21" i="58" s="1"/>
  <c r="Q20" i="58"/>
  <c r="N20" i="58"/>
  <c r="K20" i="58"/>
  <c r="E20" i="58"/>
  <c r="G20" i="58" s="1"/>
  <c r="Q19" i="58"/>
  <c r="N19" i="58"/>
  <c r="K19" i="58"/>
  <c r="E19" i="58"/>
  <c r="G19" i="58" s="1"/>
  <c r="Q18" i="58"/>
  <c r="N18" i="58"/>
  <c r="K18" i="58"/>
  <c r="E18" i="58"/>
  <c r="G18" i="58" s="1"/>
  <c r="Q17" i="58"/>
  <c r="Q16" i="58" s="1"/>
  <c r="N17" i="58"/>
  <c r="N16" i="58" s="1"/>
  <c r="K17" i="58"/>
  <c r="K16" i="58" s="1"/>
  <c r="E17" i="58"/>
  <c r="G17" i="58" s="1"/>
  <c r="R16" i="58"/>
  <c r="P16" i="58"/>
  <c r="O16" i="58"/>
  <c r="M16" i="58"/>
  <c r="L16" i="58"/>
  <c r="J16" i="58"/>
  <c r="F16" i="58"/>
  <c r="Q15" i="58"/>
  <c r="N15" i="58"/>
  <c r="K15" i="58"/>
  <c r="E15" i="58"/>
  <c r="G15" i="58" s="1"/>
  <c r="Q14" i="58"/>
  <c r="N14" i="58"/>
  <c r="K14" i="58"/>
  <c r="E14" i="58"/>
  <c r="G14" i="58" s="1"/>
  <c r="Q13" i="58"/>
  <c r="Q12" i="58" s="1"/>
  <c r="N13" i="58"/>
  <c r="N12" i="58" s="1"/>
  <c r="K13" i="58"/>
  <c r="K12" i="58" s="1"/>
  <c r="E13" i="58"/>
  <c r="G13" i="58" s="1"/>
  <c r="G12" i="58" s="1"/>
  <c r="R12" i="58"/>
  <c r="P12" i="58"/>
  <c r="O12" i="58"/>
  <c r="M12" i="58"/>
  <c r="L12" i="58"/>
  <c r="J12" i="58"/>
  <c r="I12" i="58"/>
  <c r="H12" i="58"/>
  <c r="F12" i="58"/>
  <c r="Q11" i="58"/>
  <c r="N11" i="58"/>
  <c r="K11" i="58"/>
  <c r="E11" i="58"/>
  <c r="G11" i="58" s="1"/>
  <c r="Q10" i="58"/>
  <c r="Q9" i="58" s="1"/>
  <c r="N10" i="58"/>
  <c r="N9" i="58" s="1"/>
  <c r="K10" i="58"/>
  <c r="K9" i="58" s="1"/>
  <c r="E10" i="58"/>
  <c r="G10" i="58" s="1"/>
  <c r="R9" i="58"/>
  <c r="P9" i="58"/>
  <c r="O9" i="58"/>
  <c r="M9" i="58"/>
  <c r="L9" i="58"/>
  <c r="J9" i="58"/>
  <c r="I9" i="58"/>
  <c r="H9" i="58"/>
  <c r="F9" i="58"/>
  <c r="H162" i="58" l="1"/>
  <c r="J162" i="58"/>
  <c r="M162" i="58"/>
  <c r="F162" i="58"/>
  <c r="L162" i="58"/>
  <c r="O162" i="58"/>
  <c r="R162" i="58"/>
  <c r="P162" i="58"/>
  <c r="T162" i="58"/>
  <c r="T335" i="58" s="1"/>
  <c r="I162" i="58"/>
  <c r="E138" i="58"/>
  <c r="E207" i="58"/>
  <c r="F260" i="58"/>
  <c r="I260" i="58"/>
  <c r="E12" i="58"/>
  <c r="K110" i="58"/>
  <c r="Q110" i="58"/>
  <c r="Q143" i="58"/>
  <c r="M205" i="58"/>
  <c r="K184" i="58"/>
  <c r="Q184" i="58"/>
  <c r="N184" i="58"/>
  <c r="J244" i="58"/>
  <c r="M244" i="58"/>
  <c r="M260" i="58"/>
  <c r="E275" i="58"/>
  <c r="H278" i="58"/>
  <c r="J278" i="58"/>
  <c r="K267" i="58"/>
  <c r="K278" i="58" s="1"/>
  <c r="Q267" i="58"/>
  <c r="N267" i="58"/>
  <c r="N278" i="58" s="1"/>
  <c r="E280" i="58"/>
  <c r="H327" i="58"/>
  <c r="J327" i="58"/>
  <c r="L327" i="58"/>
  <c r="P327" i="58"/>
  <c r="R327" i="58"/>
  <c r="E283" i="58"/>
  <c r="E101" i="58"/>
  <c r="Q164" i="58"/>
  <c r="E184" i="58"/>
  <c r="E235" i="58"/>
  <c r="F278" i="58"/>
  <c r="E267" i="58"/>
  <c r="K143" i="58"/>
  <c r="K164" i="58"/>
  <c r="E9" i="58"/>
  <c r="E16" i="58"/>
  <c r="K61" i="58"/>
  <c r="N61" i="58"/>
  <c r="N110" i="58"/>
  <c r="N143" i="58"/>
  <c r="L205" i="58"/>
  <c r="O205" i="58"/>
  <c r="N164" i="58"/>
  <c r="O244" i="58"/>
  <c r="E240" i="58"/>
  <c r="O260" i="58"/>
  <c r="N260" i="58"/>
  <c r="E250" i="58"/>
  <c r="E254" i="58"/>
  <c r="L278" i="58"/>
  <c r="O278" i="58"/>
  <c r="E291" i="58"/>
  <c r="E301" i="58"/>
  <c r="E316" i="58"/>
  <c r="K316" i="58"/>
  <c r="E322" i="58"/>
  <c r="Q244" i="58"/>
  <c r="Q260" i="58"/>
  <c r="Q278" i="58"/>
  <c r="N327" i="58"/>
  <c r="K22" i="58"/>
  <c r="K162" i="58" s="1"/>
  <c r="E110" i="58"/>
  <c r="F205" i="58"/>
  <c r="I205" i="58"/>
  <c r="P205" i="58"/>
  <c r="F244" i="58"/>
  <c r="L244" i="58"/>
  <c r="P244" i="58"/>
  <c r="R244" i="58"/>
  <c r="E224" i="58"/>
  <c r="E246" i="58"/>
  <c r="H260" i="58"/>
  <c r="J260" i="58"/>
  <c r="L260" i="58"/>
  <c r="P260" i="58"/>
  <c r="R260" i="58"/>
  <c r="E262" i="58"/>
  <c r="I278" i="58"/>
  <c r="M278" i="58"/>
  <c r="P278" i="58"/>
  <c r="R278" i="58"/>
  <c r="E264" i="58"/>
  <c r="F327" i="58"/>
  <c r="I327" i="58"/>
  <c r="K327" i="58"/>
  <c r="M327" i="58"/>
  <c r="O327" i="58"/>
  <c r="O334" i="58" s="1"/>
  <c r="E286" i="58"/>
  <c r="E295" i="58"/>
  <c r="E311" i="58"/>
  <c r="E314" i="58"/>
  <c r="Q316" i="58"/>
  <c r="Q327" i="58" s="1"/>
  <c r="E329" i="58"/>
  <c r="E333" i="58" s="1"/>
  <c r="H244" i="58"/>
  <c r="N22" i="58"/>
  <c r="G250" i="58"/>
  <c r="Q22" i="58"/>
  <c r="Q161" i="58"/>
  <c r="Q160" i="58" s="1"/>
  <c r="K207" i="58"/>
  <c r="I244" i="58"/>
  <c r="K244" i="58"/>
  <c r="Q61" i="58"/>
  <c r="E164" i="58"/>
  <c r="E244" i="58"/>
  <c r="H205" i="58"/>
  <c r="J205" i="58"/>
  <c r="R205" i="58"/>
  <c r="R334" i="58" s="1"/>
  <c r="E143" i="58"/>
  <c r="E61" i="58"/>
  <c r="E30" i="58"/>
  <c r="G22" i="58"/>
  <c r="E22" i="58"/>
  <c r="G30" i="58"/>
  <c r="G138" i="58"/>
  <c r="N142" i="58"/>
  <c r="N161" i="58"/>
  <c r="N160" i="58" s="1"/>
  <c r="G207" i="58"/>
  <c r="G224" i="58"/>
  <c r="G260" i="58"/>
  <c r="G275" i="58"/>
  <c r="G280" i="58"/>
  <c r="G286" i="58"/>
  <c r="G291" i="58"/>
  <c r="G295" i="58"/>
  <c r="G301" i="58"/>
  <c r="G101" i="58"/>
  <c r="G143" i="58"/>
  <c r="G184" i="58"/>
  <c r="N244" i="58"/>
  <c r="G235" i="58"/>
  <c r="K260" i="58"/>
  <c r="E258" i="58"/>
  <c r="G267" i="58"/>
  <c r="G311" i="58"/>
  <c r="G16" i="58"/>
  <c r="G61" i="58"/>
  <c r="G110" i="58"/>
  <c r="G9" i="58"/>
  <c r="G164" i="58"/>
  <c r="E160" i="58"/>
  <c r="K205" i="58"/>
  <c r="Q205" i="58"/>
  <c r="E195" i="58"/>
  <c r="E200" i="58"/>
  <c r="G316" i="58"/>
  <c r="Q162" i="58" l="1"/>
  <c r="N162" i="58"/>
  <c r="G162" i="58"/>
  <c r="E162" i="58"/>
  <c r="N205" i="58"/>
  <c r="N334" i="58" s="1"/>
  <c r="N335" i="58" s="1"/>
  <c r="E278" i="58"/>
  <c r="E260" i="58"/>
  <c r="J334" i="58"/>
  <c r="J335" i="58" s="1"/>
  <c r="I334" i="58"/>
  <c r="I335" i="58" s="1"/>
  <c r="K334" i="58"/>
  <c r="H334" i="58"/>
  <c r="H335" i="58" s="1"/>
  <c r="R335" i="58"/>
  <c r="C335" i="58"/>
  <c r="M334" i="58"/>
  <c r="M335" i="58" s="1"/>
  <c r="O335" i="58"/>
  <c r="E327" i="58"/>
  <c r="L334" i="58"/>
  <c r="L335" i="58" s="1"/>
  <c r="P334" i="58"/>
  <c r="P335" i="58" s="1"/>
  <c r="Q334" i="58"/>
  <c r="Q335" i="58" s="1"/>
  <c r="G205" i="58"/>
  <c r="G278" i="58"/>
  <c r="F334" i="58"/>
  <c r="F335" i="58" s="1"/>
  <c r="G327" i="58"/>
  <c r="E205" i="58"/>
  <c r="G244" i="58"/>
  <c r="K335" i="58" l="1"/>
  <c r="G334" i="58"/>
  <c r="E334" i="58"/>
  <c r="E335" i="58" s="1"/>
  <c r="G335" i="58"/>
  <c r="O339" i="58" l="1"/>
</calcChain>
</file>

<file path=xl/sharedStrings.xml><?xml version="1.0" encoding="utf-8"?>
<sst xmlns="http://schemas.openxmlformats.org/spreadsheetml/2006/main" count="351" uniqueCount="304">
  <si>
    <t>Анализ</t>
  </si>
  <si>
    <t>рублей</t>
  </si>
  <si>
    <t>наименование расходов</t>
  </si>
  <si>
    <t>косгу</t>
  </si>
  <si>
    <t>неоплаченные счета, авансовые отчеты</t>
  </si>
  <si>
    <t>Фонд оплаты труда</t>
  </si>
  <si>
    <t>заработная плата</t>
  </si>
  <si>
    <t>начисления на выплаты по оплате труда</t>
  </si>
  <si>
    <t>Прочие выплаты</t>
  </si>
  <si>
    <t>пособие по уходу за ребенком до 3-х лет</t>
  </si>
  <si>
    <t>коммунальные специалистам</t>
  </si>
  <si>
    <t>Услуги связи</t>
  </si>
  <si>
    <t>связь</t>
  </si>
  <si>
    <t>интернет</t>
  </si>
  <si>
    <t>межгород</t>
  </si>
  <si>
    <t>Транспортные услуги</t>
  </si>
  <si>
    <t>Коммунальные услуги</t>
  </si>
  <si>
    <t xml:space="preserve">Работы,  услуги по содержанию имущества </t>
  </si>
  <si>
    <t>услуги по ТО средств пожарной безопасности</t>
  </si>
  <si>
    <t>дератизационные работы</t>
  </si>
  <si>
    <t>прочистка наружной канализации</t>
  </si>
  <si>
    <t>услуги измерения в электроустановках</t>
  </si>
  <si>
    <t>Прочие работы,услуги</t>
  </si>
  <si>
    <t>налог на землю</t>
  </si>
  <si>
    <t>Увеличение стоимости основных средств</t>
  </si>
  <si>
    <t>приобретение огнетушителей</t>
  </si>
  <si>
    <t>Увеличение стоимости материальных запасов</t>
  </si>
  <si>
    <t>канцтовары(бланки меню)</t>
  </si>
  <si>
    <t>ВСЕГО</t>
  </si>
  <si>
    <t>Е.В.Спирякова</t>
  </si>
  <si>
    <t>7-74-32</t>
  </si>
  <si>
    <t>Заключено договоров</t>
  </si>
  <si>
    <t>Утверждено</t>
  </si>
  <si>
    <t>Отклонение</t>
  </si>
  <si>
    <t>Установка противопожарных люков и дверей</t>
  </si>
  <si>
    <t>остаток утвержденых ЛБО</t>
  </si>
  <si>
    <t>5=3-4</t>
  </si>
  <si>
    <t>7=5-6</t>
  </si>
  <si>
    <t>Пантера тех.обслуж. радиоканального оборудования</t>
  </si>
  <si>
    <t>санминимум</t>
  </si>
  <si>
    <t>специальная оценка условий труда</t>
  </si>
  <si>
    <t>пожарная охрана радиоканального оборудования</t>
  </si>
  <si>
    <t>обслуживание газового оборудования</t>
  </si>
  <si>
    <t>проведение обследования дымовой трубы</t>
  </si>
  <si>
    <t>Замена трансформатора тока</t>
  </si>
  <si>
    <t>государственная пошлина,пеня</t>
  </si>
  <si>
    <t>Замена наружного водопровода</t>
  </si>
  <si>
    <t>проверка сопротивления изоляции электросети и заземления оборудования</t>
  </si>
  <si>
    <t>услуги по охране объекта</t>
  </si>
  <si>
    <t>Определение искусственной освещенности,иследование питьевой воды</t>
  </si>
  <si>
    <t>ИТОГО финансировние муниципального задания</t>
  </si>
  <si>
    <t>ИТОГО финансировние мероприятий на условиях софинансирования</t>
  </si>
  <si>
    <t>МУНИЦИПАЛЬНОЕ ЗАДАНИЕ</t>
  </si>
  <si>
    <t>ИТОГО финансировние мероприятий по капитальному и текущему ремонту</t>
  </si>
  <si>
    <t>ИТОГО финансировние мероприятий по обеспечению пожарной безопасности</t>
  </si>
  <si>
    <t>СОФИНАНСИРОВАНИЕ</t>
  </si>
  <si>
    <t>охрана объекта с использованием КТС, ПЦО</t>
  </si>
  <si>
    <t>Строй.контроль</t>
  </si>
  <si>
    <t>поверка весов и теплосчетчиков</t>
  </si>
  <si>
    <t>прочие выплаты коммунальные специалистам</t>
  </si>
  <si>
    <t>обучение (контр.управл.,охрана труда, пож. безоп.)</t>
  </si>
  <si>
    <t>плата за негативное воздействие на окружающую среду, (декларация)</t>
  </si>
  <si>
    <t>ИТОГО иные цели</t>
  </si>
  <si>
    <t>текущий ремонт (ремонт электроплиты, холодильного шкафа, прибор автовыключения)</t>
  </si>
  <si>
    <t>Коммунальные специалисты</t>
  </si>
  <si>
    <t>приобретение стиральной машины, машина протирочная</t>
  </si>
  <si>
    <t>платные медицинские услуги</t>
  </si>
  <si>
    <t>лицензированный медицинский кабинет</t>
  </si>
  <si>
    <t>замена оконных блоков</t>
  </si>
  <si>
    <t>ремонт ограждения территории, замена калитки и ворот центрального входа</t>
  </si>
  <si>
    <t>изготовление сметной документации, плана эвакуации, перерегистрация измен. в тех. паспорт</t>
  </si>
  <si>
    <t>приобретение огнетушителей, пожарных рукавов, пожарных шкафов</t>
  </si>
  <si>
    <t>утилизация ламп, отходов  I-IV класс,компьютерной техники, отходов ТС</t>
  </si>
  <si>
    <t>суточные</t>
  </si>
  <si>
    <t>Остаток по договорам</t>
  </si>
  <si>
    <t>Административный штраф</t>
  </si>
  <si>
    <t>Налоги, пошлины, сборы</t>
  </si>
  <si>
    <t>Продукты питания</t>
  </si>
  <si>
    <t>Увеличение стоимости строительных материалов</t>
  </si>
  <si>
    <t>Увеличение стоимости прочих оборотных запасов</t>
  </si>
  <si>
    <t>Перераспределение внутри отрасли по КОСГУ</t>
  </si>
  <si>
    <t>Социальные пособия и компенсации персоналу в денежной форме</t>
  </si>
  <si>
    <t>Социальные пособия и компенсации персоналу в денежной форме (б/л)</t>
  </si>
  <si>
    <t>ТКО (90.15.07)</t>
  </si>
  <si>
    <t>ТО газового оборудования котельной,услуга аварийно-диспетчерского обслуживания сети газопотребления</t>
  </si>
  <si>
    <t>16=9-13-15</t>
  </si>
  <si>
    <t>проведение экспертизы цены</t>
  </si>
  <si>
    <t xml:space="preserve">Изготовление сметной документации </t>
  </si>
  <si>
    <t>капитальный ремонт кровли</t>
  </si>
  <si>
    <t>ремонт кровли,отмостки, оконных блоков</t>
  </si>
  <si>
    <t>Приобретение и установка противопожарных дверей 4 шт.</t>
  </si>
  <si>
    <t>Приобретение извещателей , средств индивидуальной защиты при пожаре</t>
  </si>
  <si>
    <t>Штрафы за нарушение законодательства о закупках и нарушение условий контрактов (договоров)</t>
  </si>
  <si>
    <t>Прочие (90.20.03)</t>
  </si>
  <si>
    <t>Заключено договоров без кредиторки</t>
  </si>
  <si>
    <t>11-12</t>
  </si>
  <si>
    <t>Разработка проекта "Автоматическая система пожарной сигнализации", опр.категории взрывоопасности</t>
  </si>
  <si>
    <t>ремонт котлов (колосники,вентиляторы, насос)</t>
  </si>
  <si>
    <t>составление отчета по форме 2-ТП</t>
  </si>
  <si>
    <t>Руководитель муниципального казенного учреждения "Централизованная бухгалтерия управления образования администрации муниципального образования Щербиновский район"</t>
  </si>
  <si>
    <t>кассовый расход без учета кредиторской задолженности</t>
  </si>
  <si>
    <t xml:space="preserve">КАП РЕМОНТ ЗДАНИЯ </t>
  </si>
  <si>
    <t>Услуги, работы для целей капитальных вложений (монтаж и пуско-наладочные работы охранной сигнализации)</t>
  </si>
  <si>
    <t>проведение дезинсекции</t>
  </si>
  <si>
    <t>отчет об организации и о результатах осуществление производственного экологического контроля</t>
  </si>
  <si>
    <t>изготовление сертификата"СКБ Контур",ЭЦП</t>
  </si>
  <si>
    <t>Увеличение стоимости прочих материальных запасов однократного применения</t>
  </si>
  <si>
    <t>одноразовые стаканы для питьевой воды</t>
  </si>
  <si>
    <r>
      <t xml:space="preserve">текущий ремонт санузлов , текущий ремонт отопления, замена водостоков, </t>
    </r>
    <r>
      <rPr>
        <b/>
        <sz val="14"/>
        <rFont val="Times New Roman"/>
        <family val="1"/>
        <charset val="204"/>
      </rPr>
      <t>РЕМОНТ ОСВЕЩЕНИЯ ТЕРРИТОРИИ</t>
    </r>
  </si>
  <si>
    <t>Ремонт электопроводки в подвале с заменой светильников</t>
  </si>
  <si>
    <t>оборудование на лестничных клетках выходов из подвального этажа</t>
  </si>
  <si>
    <t>установка противопожарного люка</t>
  </si>
  <si>
    <t>краны</t>
  </si>
  <si>
    <t>Замена автомата и опрессовка проводов</t>
  </si>
  <si>
    <t>замена Блока бесперебойного питания ББП-50  на системе видеонаблюдения</t>
  </si>
  <si>
    <t>весы</t>
  </si>
  <si>
    <t>ремонт дымовой трубы для котельной,ремонт котлов,обслед дымовых каналов перед началом отоп.сезона,проверка системы контроля концентрации токсичных и горючих газов</t>
  </si>
  <si>
    <t>оформление проекта</t>
  </si>
  <si>
    <t>приобретение электро водонагревателя, электроплиты</t>
  </si>
  <si>
    <t>заключение (исл питьевой воды, искуств освещен, консультво по вопросам размещения) платн. Услуги</t>
  </si>
  <si>
    <t>Приобретение дезсредств</t>
  </si>
  <si>
    <t>Увеличение стоимости лекарственных препаратов и материалов, применяемых в медицинских целях</t>
  </si>
  <si>
    <t>капитальный ремонт зданий и сооружений</t>
  </si>
  <si>
    <t xml:space="preserve">материалы для ремонта </t>
  </si>
  <si>
    <t>проведение бактериологических иследований</t>
  </si>
  <si>
    <t>замена светильников</t>
  </si>
  <si>
    <t>ремонт холодильной камеры,холодильника</t>
  </si>
  <si>
    <t>приобретение мусорного контейнера</t>
  </si>
  <si>
    <t>самоспасатель Феникс, противопожарное полотно</t>
  </si>
  <si>
    <t>приобретение теневого навеса</t>
  </si>
  <si>
    <t>приобретение симкарт (Мегафон, МТС)</t>
  </si>
  <si>
    <t>Оснащение объекта системой передачи тревожных сообщений в систему обеспечения вызова экстренных оперативных служб по единому номеру "112"</t>
  </si>
  <si>
    <t>теплоснабжение (90.15.01)</t>
  </si>
  <si>
    <t>газоснабжение (90.15.02)</t>
  </si>
  <si>
    <t>электроснабжение (90.15.03)</t>
  </si>
  <si>
    <t>водоснабжение  (90.15.04)</t>
  </si>
  <si>
    <t>Приобретение мусорного контейнера</t>
  </si>
  <si>
    <t>больничные листы</t>
  </si>
  <si>
    <t>оформление документов на гос. регистрацию</t>
  </si>
  <si>
    <t>Устройство системы электроотопления</t>
  </si>
  <si>
    <t>проведение экслуатационных испытаний пожарных лестниц</t>
  </si>
  <si>
    <t>Услуги по содержанию имущества</t>
  </si>
  <si>
    <t>Приобретение симкарт к оборудованию (МТС, Мегафон)</t>
  </si>
  <si>
    <t>Прочие работы, услуги</t>
  </si>
  <si>
    <r>
      <t>Проверка качества огнезащитной обработки, огнезащитная обработка,</t>
    </r>
    <r>
      <rPr>
        <b/>
        <sz val="14"/>
        <color indexed="8"/>
        <rFont val="Times New Roman"/>
        <family val="1"/>
        <charset val="204"/>
      </rPr>
      <t>проведение экспертизы качества оргаждения кровли</t>
    </r>
  </si>
  <si>
    <t>Увеличение стоимости строительных материалов(противопожарная краска,обработка дер. конструкций, индив. сред-ва защиты)</t>
  </si>
  <si>
    <t>оплата услуг связи (экстренная оперативная служба)</t>
  </si>
  <si>
    <t>Ремонт АУПС и СОУЭ, установка противопожарной двери, дверных проемов</t>
  </si>
  <si>
    <t>Аккумулятор</t>
  </si>
  <si>
    <t>приобретение водомера</t>
  </si>
  <si>
    <t>Установка противопожарной двери</t>
  </si>
  <si>
    <t>услуги по техническому  обслуживанию системы передачи тревожных сообщений в систему обеспечения вызова экстренных оперативных служб по единому номеру "112"</t>
  </si>
  <si>
    <r>
      <t xml:space="preserve">Огнезащитная обработка,проверка качества, приобретение огнетушителей и знаков безопасности, </t>
    </r>
    <r>
      <rPr>
        <b/>
        <sz val="14"/>
        <color indexed="8"/>
        <rFont val="Times New Roman"/>
        <family val="1"/>
        <charset val="204"/>
      </rPr>
      <t>проведение эксрпертизы качества ограждения кровли</t>
    </r>
  </si>
  <si>
    <t>Проведение экспертизы качества оргаждения кровли</t>
  </si>
  <si>
    <t xml:space="preserve">Получение технических условий на подключение (технологическое присоединение) объекта капитального строительства к сети газораспределения, к электрическим сетям </t>
  </si>
  <si>
    <t>Блок бесперебойного питания , электрические терморегуляторы, магнитноконтактные датчики контроля</t>
  </si>
  <si>
    <t>техническое обслуживание системы внутреннего пожарного водоснабжения</t>
  </si>
  <si>
    <t>проверка пожарных кранов</t>
  </si>
  <si>
    <t>замена камер видеонаблюдения</t>
  </si>
  <si>
    <t>Мегафон (экстренная оперативная служба)</t>
  </si>
  <si>
    <t>обслуживание сайта учреждения</t>
  </si>
  <si>
    <t>приобретение шкафчика для инвентаря</t>
  </si>
  <si>
    <t>кастрюли из нержавеющей стали</t>
  </si>
  <si>
    <t>приобретение стеллажей, столов</t>
  </si>
  <si>
    <t>прибретение мясорубки</t>
  </si>
  <si>
    <t>Освещение музыкального зала</t>
  </si>
  <si>
    <t>Увеличение стоимости горюче-смазочных материалов (мероприятие 90.22.06)</t>
  </si>
  <si>
    <t xml:space="preserve">Увеличение стоимости горюче-смазочных материалов </t>
  </si>
  <si>
    <t>Твердое топливо (мероприятие 90.22.05)</t>
  </si>
  <si>
    <t>система электроснабжения</t>
  </si>
  <si>
    <t>кухонная посуда</t>
  </si>
  <si>
    <t>мед. препараты</t>
  </si>
  <si>
    <t>термометр</t>
  </si>
  <si>
    <t>материалы для ремонта (терморегулятор)</t>
  </si>
  <si>
    <t>техническое обслуживание АПС и СОУЭ</t>
  </si>
  <si>
    <t>определение профессиональных рисков по охране труда</t>
  </si>
  <si>
    <t>замена панелей ПВХ</t>
  </si>
  <si>
    <t>Монтаж автоматической пожарной сигнализации</t>
  </si>
  <si>
    <t>в том числе кредиторская задолженность  2021 года</t>
  </si>
  <si>
    <t>Установка автоматической пожарной сигнализации в помещении</t>
  </si>
  <si>
    <t>ремонт системы оповещения</t>
  </si>
  <si>
    <t>замена видеорегистратора и установка дополнительных камер видеонаблюдения</t>
  </si>
  <si>
    <t>разработка и корректировка ПСД, инженерные изыскания прохождение госэкспертизы</t>
  </si>
  <si>
    <t>Изготовление сметы, услуги строительного надзора</t>
  </si>
  <si>
    <t>Установка уполотнителей  и устройств для самозакрывания дверей в групповых ячейках, ремонт полов</t>
  </si>
  <si>
    <t>Проверка работоспособности внутренней системы пожаротушения</t>
  </si>
  <si>
    <t>Капитальный ремонт эвакуационных выходов</t>
  </si>
  <si>
    <t>Установка насосной станции</t>
  </si>
  <si>
    <t>Испытание средств обеспечения пожарной безопасности АПС и СОУЭ</t>
  </si>
  <si>
    <t>Пантера тех.обслуж. АПС И СОУЭ</t>
  </si>
  <si>
    <t>отопительный котел</t>
  </si>
  <si>
    <t>МТС (экстренная оперативная служба)</t>
  </si>
  <si>
    <t>услуги по ТО средств пожарной безопасности  (500 руб в месяц) АУПС и СОУЭ</t>
  </si>
  <si>
    <t>обучение (контр.управл)</t>
  </si>
  <si>
    <t>обучение (охрана труда)</t>
  </si>
  <si>
    <t>обучение (эколог . безопасность)</t>
  </si>
  <si>
    <t>обучение(по антитеррористической безопасности)</t>
  </si>
  <si>
    <t>обучение (по гражданской обороне)</t>
  </si>
  <si>
    <t>замена газового котла</t>
  </si>
  <si>
    <t>Дополнительная потребность (+) до конца  2022 года , руб.</t>
  </si>
  <si>
    <t>Ремонтные работы системы контроля доступом (замена блока вызывной панели)</t>
  </si>
  <si>
    <t>замена водомера</t>
  </si>
  <si>
    <t>акт обследования (для снятия с кадастрового учета недвижимого имущества), уведомление о планируемом сносе</t>
  </si>
  <si>
    <t>приобретение жесткого диска в системе видеонаблюдения</t>
  </si>
  <si>
    <t>смесители</t>
  </si>
  <si>
    <t xml:space="preserve"> утюг</t>
  </si>
  <si>
    <t>триммер,шуруповерт. перфоратор</t>
  </si>
  <si>
    <t>Увеличение стоимости мягкого  инвентаря (спец. одежда, халаты, постельное.матрацы)</t>
  </si>
  <si>
    <t>сплит система</t>
  </si>
  <si>
    <t>пылесос</t>
  </si>
  <si>
    <t>мебель,кресла, столы</t>
  </si>
  <si>
    <t>раскладушки,кровати</t>
  </si>
  <si>
    <t>оргтехника</t>
  </si>
  <si>
    <t>вытяжка</t>
  </si>
  <si>
    <t>прочие (инвентарь,поддоны)</t>
  </si>
  <si>
    <t>ремонт внутренней отделки помещений (ремонт рекреации, покраска побелка кабинетов)</t>
  </si>
  <si>
    <t>проведение гос. Экспертизы</t>
  </si>
  <si>
    <t>проведение госэкспертизы</t>
  </si>
  <si>
    <t>ремонт отмостки</t>
  </si>
  <si>
    <t>ремонт помещений мед. блока</t>
  </si>
  <si>
    <t>ремонт  кровли</t>
  </si>
  <si>
    <t>кап. ремонт пищеблока</t>
  </si>
  <si>
    <t>ремонт выездов и входов на территорию, благоустройство территории</t>
  </si>
  <si>
    <t>ремонт теневого навеса</t>
  </si>
  <si>
    <t>доснащение групп сантехническими приборами(замена сантехники)</t>
  </si>
  <si>
    <t>Монтаж (установка) электроприемника для ВПВ 1 категории надежности электроснабжения (электрогенератора)</t>
  </si>
  <si>
    <t>ремонт (замена ) домофона</t>
  </si>
  <si>
    <t>замена уличных фонарей</t>
  </si>
  <si>
    <t>изготовление сметы,ПСД</t>
  </si>
  <si>
    <t>стройконтроль</t>
  </si>
  <si>
    <t>ТУ на подключение объекта кап. строительства к сети газораспределения</t>
  </si>
  <si>
    <t>приобретение светильников и радиаторов</t>
  </si>
  <si>
    <t>приобретение ванн моечных 2-секционных для пищеблока</t>
  </si>
  <si>
    <t>мебель</t>
  </si>
  <si>
    <t>консультации по вопросам размещения,организации и оборудования медицинских и фармацевтических организаций и других образовательных учреждений с выездом и оформлением акта обследования</t>
  </si>
  <si>
    <t xml:space="preserve">услуги установки и сборки </t>
  </si>
  <si>
    <t>услуги нотариуса, переоформление документов, регистрация устава</t>
  </si>
  <si>
    <t>кастрюли, миски из нержавеющей стали, мясорубка</t>
  </si>
  <si>
    <t>установка котла,  радиатора</t>
  </si>
  <si>
    <t>секции, колосники, резьбы, шайбы для ремонта отопительного котла</t>
  </si>
  <si>
    <t>циркулярный насос</t>
  </si>
  <si>
    <t>Монтаж насосной станции</t>
  </si>
  <si>
    <t>выдача технических условий в отношении ранее присоединенныхэнергопринимающих устройств, принадлежащих на правах собственности или иных правах заявителю</t>
  </si>
  <si>
    <t>обучение (пож.тех. минимум,повышение квалификации в области пож. безопасности)</t>
  </si>
  <si>
    <t>хоз. Товары (Водомер, ТЭН)</t>
  </si>
  <si>
    <t>приобретение конфорок для электроплиты, тена в духовой шкаф</t>
  </si>
  <si>
    <t>домофон, з/ч для ремонта видеонаблюд.</t>
  </si>
  <si>
    <t>Утверждено без кредиторки</t>
  </si>
  <si>
    <t>Кассовый расход</t>
  </si>
  <si>
    <t>Итого по л.сч 62</t>
  </si>
  <si>
    <t>Итого строительство блочно-модульных котельных</t>
  </si>
  <si>
    <t>расходования бюджетных средств  по муниципальному бюджетному дошкольному образовательному учреждению  детский сад № 16 муниципального образования Щербиновский район село Николаевка</t>
  </si>
  <si>
    <r>
      <rPr>
        <b/>
        <sz val="14"/>
        <color indexed="8"/>
        <rFont val="Times New Roman"/>
        <family val="1"/>
        <charset val="204"/>
      </rPr>
      <t>КАПИТАЛЬНЫЙ И ТЕКУЩИЙ РЕМОНТ</t>
    </r>
    <r>
      <rPr>
        <sz val="14"/>
        <color indexed="8"/>
        <rFont val="Times New Roman"/>
        <family val="1"/>
        <charset val="204"/>
      </rPr>
      <t xml:space="preserve">                                                              код субсидии - 110011022</t>
    </r>
  </si>
  <si>
    <r>
      <t>ОБЕСПЕЧЕНИЕ ПОЖАРНОЙ БЕЗОПАСНОСТИ</t>
    </r>
    <r>
      <rPr>
        <sz val="14"/>
        <color indexed="8"/>
        <rFont val="Times New Roman"/>
        <family val="1"/>
        <charset val="204"/>
      </rPr>
      <t xml:space="preserve">                                              код субсидии - 110011019</t>
    </r>
  </si>
  <si>
    <r>
      <t xml:space="preserve">Профилактика терроризма в части обеспечения инженерно-технической защищенности </t>
    </r>
    <r>
      <rPr>
        <sz val="14"/>
        <color indexed="8"/>
        <rFont val="Times New Roman"/>
        <family val="1"/>
        <charset val="204"/>
      </rPr>
      <t xml:space="preserve">                                                    код субсидии - 110011087</t>
    </r>
  </si>
  <si>
    <r>
      <t xml:space="preserve">ИНЫЕ ЦЕЛИ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код субсидии - 110010059</t>
    </r>
  </si>
  <si>
    <t>Приобретение Дизельной станции</t>
  </si>
  <si>
    <t>проведение экспертизы цены,  распломбировка приборов учета</t>
  </si>
  <si>
    <t>дооснащение групп сантехническими приборами</t>
  </si>
  <si>
    <t>Монтаж системы электроотопления</t>
  </si>
  <si>
    <t>Установка системы электроотопления</t>
  </si>
  <si>
    <r>
      <t xml:space="preserve">Строительство блочно-модульных котельных                                       </t>
    </r>
    <r>
      <rPr>
        <sz val="14"/>
        <color indexed="8"/>
        <rFont val="Times New Roman"/>
        <family val="1"/>
        <charset val="204"/>
      </rPr>
      <t>код субсидии - 080011015</t>
    </r>
  </si>
  <si>
    <t>вывоз ЖБО (м-е 90.15.06)</t>
  </si>
  <si>
    <t>канализирование (м-е 90.15.05)</t>
  </si>
  <si>
    <t>налог на имущество (КВР - 851)</t>
  </si>
  <si>
    <t>налог на землю (КВР - 851)</t>
  </si>
  <si>
    <t>плата за негативное воздействие на окружающую среду (КВР - 853)</t>
  </si>
  <si>
    <t>тех.заключение на списание теневых навесов</t>
  </si>
  <si>
    <t>Устранение замечаний Роспотребнадзора (текущий ремонт туалета, пищеблока , канализации)</t>
  </si>
  <si>
    <r>
      <t xml:space="preserve">Текущий ремонт пожарного водоема, вынос гидранта на магистраль водопровода </t>
    </r>
    <r>
      <rPr>
        <b/>
        <sz val="14"/>
        <color indexed="8"/>
        <rFont val="Times New Roman"/>
        <family val="1"/>
        <charset val="204"/>
      </rPr>
      <t>Проведение испытаний 2-х пожарных гидрантов</t>
    </r>
  </si>
  <si>
    <t>Установка дымовых извещателей</t>
  </si>
  <si>
    <t>Устройство эвакуационной лестницы</t>
  </si>
  <si>
    <t>калитки и ворот центрального входа</t>
  </si>
  <si>
    <t>ремонт системы водоснабжения и канализирования</t>
  </si>
  <si>
    <t>сифоны, сверла</t>
  </si>
  <si>
    <r>
      <t xml:space="preserve">приобретение лампочек, плафонов, крючки,лампы люминисцентные,лампы светодиодные, </t>
    </r>
    <r>
      <rPr>
        <sz val="14"/>
        <color rgb="FFFF0000"/>
        <rFont val="Times New Roman"/>
        <family val="1"/>
        <charset val="204"/>
      </rPr>
      <t>линолеума</t>
    </r>
  </si>
  <si>
    <t>техническое обслуживание котельной</t>
  </si>
  <si>
    <t>Изготовление документов программы Энергосбережение</t>
  </si>
  <si>
    <t>Монтаж автономной системы оповещения, домофона</t>
  </si>
  <si>
    <t>установка жесткого диска видеонаблюдения</t>
  </si>
  <si>
    <t>на 01.01.2023 г.</t>
  </si>
  <si>
    <t>на 01.01.2023</t>
  </si>
  <si>
    <t>Остатки лимитов 2022 года</t>
  </si>
  <si>
    <t>Утверждено на 31.12.2022</t>
  </si>
  <si>
    <t>Кассовый расход за 2022 год всего</t>
  </si>
  <si>
    <t>Кредиторская задолженность за 2022 год</t>
  </si>
  <si>
    <t>психиатрическое освидетельствование</t>
  </si>
  <si>
    <t>Меры социальной поддержки членам семей граждан, призванных на военную службу по мобилизации, добровольцев</t>
  </si>
  <si>
    <t>Увеличение стоимости продуктов питания</t>
  </si>
  <si>
    <t>мармиты, краны, смесители</t>
  </si>
  <si>
    <t>Исготовление ПСД</t>
  </si>
  <si>
    <t>ТО системы видеонаблюдения</t>
  </si>
  <si>
    <t>услуги по установлению границ земельного участка</t>
  </si>
  <si>
    <t>Разработка паспортов отходов (экологический паспортов)</t>
  </si>
  <si>
    <t>Приобретение программного продукта "Питание"</t>
  </si>
  <si>
    <t>заключение на списание основных средств</t>
  </si>
  <si>
    <t>аварийно-диспетчерское обеспечение Газпромгазораспределение Краснодар</t>
  </si>
  <si>
    <t>кухонное оборудование , краны , смесители</t>
  </si>
  <si>
    <t>приобретение холодильника, морозильной камеры</t>
  </si>
  <si>
    <t>в том числе кредиторская задолженность  2022 года</t>
  </si>
  <si>
    <t>в т.ч кассовый расход 2022 года (ОХРАНА)</t>
  </si>
  <si>
    <t>на 2023г (14.02.2023)</t>
  </si>
  <si>
    <t>14.02.2023</t>
  </si>
  <si>
    <t>(по состоянию на 14.02.2023 г.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</si>
</sst>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(* #,##0.00_);_(* \(#,##0.00\);_(* &quot;-&quot;??_);_(@_)"/>
    <numFmt numFmtId="166" formatCode="#,##0.00_ ;[Red]\-#,##0.00\ "/>
    <numFmt numFmtId="167" formatCode="#,##0_ ;[Red]\-#,##0\ "/>
  </numFmts>
  <fonts count="33" x14ac:knownFonts="1">
    <font>
      <sz val="10"/>
      <name val="Arial"/>
    </font>
    <font>
      <sz val="10"/>
      <name val="Arial"/>
      <family val="2"/>
      <charset val="204"/>
    </font>
    <font>
      <sz val="14"/>
      <color indexed="8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2"/>
      <charset val="204"/>
    </font>
    <font>
      <b/>
      <u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6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4"/>
      <name val="Times New Roman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E7F1"/>
        <bgColor indexed="64"/>
      </patternFill>
    </fill>
    <fill>
      <patternFill patternType="solid">
        <fgColor rgb="FFD9D2E4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FCEEE0"/>
        <bgColor indexed="64"/>
      </patternFill>
    </fill>
    <fill>
      <patternFill patternType="solid">
        <fgColor rgb="FFDDF7F6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rgb="FFDECDFF"/>
        <bgColor indexed="64"/>
      </patternFill>
    </fill>
    <fill>
      <patternFill patternType="solid">
        <fgColor rgb="FFCDFFCD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rgb="FFE5E1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E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1" fillId="0" borderId="0"/>
    <xf numFmtId="0" fontId="22" fillId="0" borderId="0"/>
    <xf numFmtId="0" fontId="24" fillId="0" borderId="0"/>
    <xf numFmtId="165" fontId="1" fillId="0" borderId="0" applyFont="0" applyFill="0" applyBorder="0" applyAlignment="0" applyProtection="0"/>
  </cellStyleXfs>
  <cellXfs count="384">
    <xf numFmtId="0" fontId="0" fillId="0" borderId="0" xfId="0"/>
    <xf numFmtId="0" fontId="0" fillId="2" borderId="0" xfId="0" applyFill="1"/>
    <xf numFmtId="0" fontId="16" fillId="2" borderId="0" xfId="0" applyFont="1" applyFill="1"/>
    <xf numFmtId="4" fontId="13" fillId="0" borderId="1" xfId="1" applyNumberFormat="1" applyFont="1" applyFill="1" applyBorder="1" applyAlignment="1">
      <alignment horizontal="center" vertical="center"/>
    </xf>
    <xf numFmtId="4" fontId="13" fillId="0" borderId="7" xfId="1" applyNumberFormat="1" applyFont="1" applyFill="1" applyBorder="1" applyAlignment="1">
      <alignment horizontal="center" vertical="center"/>
    </xf>
    <xf numFmtId="4" fontId="11" fillId="0" borderId="1" xfId="5" applyNumberFormat="1" applyFont="1" applyFill="1" applyBorder="1" applyAlignment="1">
      <alignment horizontal="center" vertical="center"/>
    </xf>
    <xf numFmtId="0" fontId="0" fillId="0" borderId="0" xfId="0" applyFill="1"/>
    <xf numFmtId="0" fontId="23" fillId="2" borderId="0" xfId="0" applyFont="1" applyFill="1"/>
    <xf numFmtId="0" fontId="10" fillId="2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wrapText="1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wrapText="1"/>
    </xf>
    <xf numFmtId="0" fontId="15" fillId="2" borderId="0" xfId="0" applyFont="1" applyFill="1"/>
    <xf numFmtId="0" fontId="25" fillId="2" borderId="0" xfId="0" applyFont="1" applyFill="1"/>
    <xf numFmtId="0" fontId="13" fillId="2" borderId="0" xfId="1" applyFont="1" applyFill="1" applyBorder="1" applyAlignment="1">
      <alignment vertical="center" wrapText="1"/>
    </xf>
    <xf numFmtId="0" fontId="26" fillId="3" borderId="2" xfId="1" applyFont="1" applyFill="1" applyBorder="1" applyAlignment="1">
      <alignment wrapText="1"/>
    </xf>
    <xf numFmtId="4" fontId="13" fillId="0" borderId="6" xfId="1" applyNumberFormat="1" applyFont="1" applyFill="1" applyBorder="1" applyAlignment="1">
      <alignment horizontal="center" vertical="center"/>
    </xf>
    <xf numFmtId="166" fontId="13" fillId="0" borderId="1" xfId="1" applyNumberFormat="1" applyFont="1" applyFill="1" applyBorder="1" applyAlignment="1">
      <alignment horizontal="center" vertical="center"/>
    </xf>
    <xf numFmtId="166" fontId="11" fillId="0" borderId="1" xfId="5" applyNumberFormat="1" applyFont="1" applyFill="1" applyBorder="1" applyAlignment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/>
    </xf>
    <xf numFmtId="166" fontId="10" fillId="0" borderId="1" xfId="1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wrapText="1"/>
    </xf>
    <xf numFmtId="167" fontId="10" fillId="2" borderId="1" xfId="1" applyNumberFormat="1" applyFont="1" applyFill="1" applyBorder="1" applyAlignment="1">
      <alignment horizontal="left" vertical="center" wrapText="1"/>
    </xf>
    <xf numFmtId="167" fontId="10" fillId="2" borderId="1" xfId="1" applyNumberFormat="1" applyFont="1" applyFill="1" applyBorder="1" applyAlignment="1">
      <alignment vertical="center" wrapText="1"/>
    </xf>
    <xf numFmtId="166" fontId="10" fillId="0" borderId="7" xfId="1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28" fillId="2" borderId="1" xfId="1" applyFont="1" applyFill="1" applyBorder="1" applyAlignment="1">
      <alignment horizontal="left" vertical="center" wrapText="1"/>
    </xf>
    <xf numFmtId="0" fontId="2" fillId="3" borderId="0" xfId="1" applyFont="1" applyFill="1"/>
    <xf numFmtId="0" fontId="10" fillId="3" borderId="1" xfId="1" applyFont="1" applyFill="1" applyBorder="1" applyAlignment="1">
      <alignment wrapText="1"/>
    </xf>
    <xf numFmtId="0" fontId="10" fillId="3" borderId="1" xfId="1" applyFont="1" applyFill="1" applyBorder="1" applyAlignment="1">
      <alignment vertical="center" wrapText="1"/>
    </xf>
    <xf numFmtId="0" fontId="11" fillId="3" borderId="7" xfId="1" applyFont="1" applyFill="1" applyBorder="1" applyAlignment="1">
      <alignment wrapText="1"/>
    </xf>
    <xf numFmtId="166" fontId="10" fillId="0" borderId="2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vertical="center" wrapText="1"/>
    </xf>
    <xf numFmtId="166" fontId="13" fillId="5" borderId="1" xfId="1" applyNumberFormat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wrapText="1"/>
    </xf>
    <xf numFmtId="166" fontId="11" fillId="0" borderId="7" xfId="5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5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165" fontId="9" fillId="0" borderId="0" xfId="5" applyFont="1" applyFill="1"/>
    <xf numFmtId="0" fontId="2" fillId="0" borderId="0" xfId="1" applyFont="1" applyFill="1" applyAlignment="1">
      <alignment horizontal="center" wrapText="1"/>
    </xf>
    <xf numFmtId="0" fontId="3" fillId="0" borderId="0" xfId="1" applyFill="1"/>
    <xf numFmtId="0" fontId="4" fillId="0" borderId="0" xfId="0" applyFont="1" applyFill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wrapText="1"/>
    </xf>
    <xf numFmtId="166" fontId="10" fillId="0" borderId="1" xfId="5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wrapText="1"/>
    </xf>
    <xf numFmtId="166" fontId="10" fillId="0" borderId="2" xfId="5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166" fontId="11" fillId="0" borderId="7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0" fontId="18" fillId="0" borderId="0" xfId="0" applyFont="1" applyFill="1"/>
    <xf numFmtId="164" fontId="18" fillId="0" borderId="0" xfId="0" applyNumberFormat="1" applyFont="1" applyFill="1"/>
    <xf numFmtId="4" fontId="18" fillId="0" borderId="0" xfId="0" applyNumberFormat="1" applyFont="1" applyFill="1"/>
    <xf numFmtId="0" fontId="7" fillId="0" borderId="0" xfId="1" applyFont="1" applyFill="1" applyAlignment="1">
      <alignment horizontal="center" vertical="center"/>
    </xf>
    <xf numFmtId="165" fontId="7" fillId="0" borderId="0" xfId="5" applyFont="1" applyFill="1"/>
    <xf numFmtId="164" fontId="0" fillId="0" borderId="0" xfId="0" applyNumberFormat="1" applyFill="1"/>
    <xf numFmtId="4" fontId="6" fillId="0" borderId="0" xfId="1" applyNumberFormat="1" applyFont="1" applyFill="1"/>
    <xf numFmtId="164" fontId="6" fillId="0" borderId="0" xfId="1" applyNumberFormat="1" applyFont="1" applyFill="1"/>
    <xf numFmtId="0" fontId="6" fillId="0" borderId="0" xfId="1" applyFont="1" applyFill="1"/>
    <xf numFmtId="0" fontId="2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right" wrapText="1"/>
    </xf>
    <xf numFmtId="166" fontId="18" fillId="0" borderId="0" xfId="0" applyNumberFormat="1" applyFont="1" applyFill="1"/>
    <xf numFmtId="0" fontId="7" fillId="0" borderId="0" xfId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/>
    </xf>
    <xf numFmtId="166" fontId="7" fillId="5" borderId="3" xfId="1" applyNumberFormat="1" applyFont="1" applyFill="1" applyBorder="1" applyAlignment="1">
      <alignment horizontal="center" vertical="center"/>
    </xf>
    <xf numFmtId="166" fontId="11" fillId="3" borderId="1" xfId="1" applyNumberFormat="1" applyFont="1" applyFill="1" applyBorder="1" applyAlignment="1">
      <alignment vertical="center" wrapText="1"/>
    </xf>
    <xf numFmtId="167" fontId="10" fillId="3" borderId="1" xfId="1" applyNumberFormat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10" fillId="3" borderId="2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vertical="center" wrapText="1"/>
    </xf>
    <xf numFmtId="0" fontId="10" fillId="2" borderId="2" xfId="1" applyFont="1" applyFill="1" applyBorder="1" applyAlignment="1">
      <alignment vertical="center" wrapText="1"/>
    </xf>
    <xf numFmtId="0" fontId="10" fillId="3" borderId="6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8" fillId="5" borderId="12" xfId="1" applyFont="1" applyFill="1" applyBorder="1" applyAlignment="1">
      <alignment vertical="center" wrapText="1"/>
    </xf>
    <xf numFmtId="0" fontId="7" fillId="5" borderId="6" xfId="1" applyFont="1" applyFill="1" applyBorder="1" applyAlignment="1">
      <alignment horizontal="center" vertical="center"/>
    </xf>
    <xf numFmtId="4" fontId="13" fillId="5" borderId="6" xfId="1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left" vertical="center" wrapText="1"/>
    </xf>
    <xf numFmtId="0" fontId="8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7" fontId="11" fillId="3" borderId="1" xfId="1" applyNumberFormat="1" applyFont="1" applyFill="1" applyBorder="1" applyAlignment="1">
      <alignment vertical="center" wrapText="1"/>
    </xf>
    <xf numFmtId="167" fontId="10" fillId="2" borderId="2" xfId="1" applyNumberFormat="1" applyFont="1" applyFill="1" applyBorder="1" applyAlignment="1">
      <alignment vertical="center" wrapText="1"/>
    </xf>
    <xf numFmtId="0" fontId="11" fillId="3" borderId="7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center"/>
    </xf>
    <xf numFmtId="0" fontId="11" fillId="3" borderId="2" xfId="1" applyFont="1" applyFill="1" applyBorder="1" applyAlignment="1">
      <alignment vertical="center"/>
    </xf>
    <xf numFmtId="167" fontId="11" fillId="2" borderId="1" xfId="1" applyNumberFormat="1" applyFont="1" applyFill="1" applyBorder="1" applyAlignment="1">
      <alignment vertical="center" wrapText="1"/>
    </xf>
    <xf numFmtId="0" fontId="11" fillId="3" borderId="4" xfId="1" applyFont="1" applyFill="1" applyBorder="1" applyAlignment="1">
      <alignment vertical="center" wrapText="1"/>
    </xf>
    <xf numFmtId="0" fontId="11" fillId="2" borderId="6" xfId="1" applyFont="1" applyFill="1" applyBorder="1" applyAlignment="1">
      <alignment vertical="center" wrapText="1"/>
    </xf>
    <xf numFmtId="0" fontId="11" fillId="2" borderId="4" xfId="1" applyFont="1" applyFill="1" applyBorder="1" applyAlignment="1">
      <alignment vertical="center" wrapText="1"/>
    </xf>
    <xf numFmtId="0" fontId="27" fillId="3" borderId="1" xfId="1" applyFont="1" applyFill="1" applyBorder="1" applyAlignment="1">
      <alignment vertical="center" wrapText="1"/>
    </xf>
    <xf numFmtId="0" fontId="27" fillId="3" borderId="4" xfId="1" applyFont="1" applyFill="1" applyBorder="1" applyAlignment="1">
      <alignment vertical="center" wrapText="1"/>
    </xf>
    <xf numFmtId="0" fontId="5" fillId="6" borderId="2" xfId="1" applyFont="1" applyFill="1" applyBorder="1" applyAlignment="1">
      <alignment horizontal="center" vertical="center"/>
    </xf>
    <xf numFmtId="166" fontId="10" fillId="6" borderId="2" xfId="5" applyNumberFormat="1" applyFont="1" applyFill="1" applyBorder="1" applyAlignment="1">
      <alignment horizontal="center" vertical="center" wrapText="1"/>
    </xf>
    <xf numFmtId="166" fontId="10" fillId="6" borderId="1" xfId="5" applyNumberFormat="1" applyFont="1" applyFill="1" applyBorder="1" applyAlignment="1">
      <alignment horizontal="center" vertical="center" wrapText="1"/>
    </xf>
    <xf numFmtId="166" fontId="10" fillId="6" borderId="7" xfId="5" applyNumberFormat="1" applyFont="1" applyFill="1" applyBorder="1" applyAlignment="1">
      <alignment horizontal="center" vertical="center" wrapText="1"/>
    </xf>
    <xf numFmtId="166" fontId="10" fillId="6" borderId="1" xfId="1" applyNumberFormat="1" applyFont="1" applyFill="1" applyBorder="1" applyAlignment="1">
      <alignment horizontal="center" vertical="center"/>
    </xf>
    <xf numFmtId="166" fontId="10" fillId="6" borderId="7" xfId="1" applyNumberFormat="1" applyFont="1" applyFill="1" applyBorder="1" applyAlignment="1">
      <alignment horizontal="center" vertical="center"/>
    </xf>
    <xf numFmtId="4" fontId="10" fillId="6" borderId="1" xfId="1" applyNumberFormat="1" applyFont="1" applyFill="1" applyBorder="1" applyAlignment="1">
      <alignment horizontal="center" vertical="center"/>
    </xf>
    <xf numFmtId="4" fontId="13" fillId="6" borderId="1" xfId="1" applyNumberFormat="1" applyFont="1" applyFill="1" applyBorder="1" applyAlignment="1">
      <alignment horizontal="center" vertical="center"/>
    </xf>
    <xf numFmtId="4" fontId="10" fillId="6" borderId="1" xfId="5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166" fontId="10" fillId="6" borderId="1" xfId="5" applyNumberFormat="1" applyFont="1" applyFill="1" applyBorder="1" applyAlignment="1">
      <alignment horizontal="right" vertical="center" wrapText="1"/>
    </xf>
    <xf numFmtId="166" fontId="10" fillId="6" borderId="7" xfId="5" applyNumberFormat="1" applyFont="1" applyFill="1" applyBorder="1" applyAlignment="1">
      <alignment horizontal="right" vertical="center" wrapText="1"/>
    </xf>
    <xf numFmtId="0" fontId="2" fillId="7" borderId="4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166" fontId="11" fillId="7" borderId="1" xfId="1" applyNumberFormat="1" applyFont="1" applyFill="1" applyBorder="1" applyAlignment="1">
      <alignment horizontal="right" vertical="center"/>
    </xf>
    <xf numFmtId="166" fontId="10" fillId="7" borderId="2" xfId="5" applyNumberFormat="1" applyFont="1" applyFill="1" applyBorder="1" applyAlignment="1">
      <alignment horizontal="center" vertical="center" wrapText="1"/>
    </xf>
    <xf numFmtId="166" fontId="10" fillId="7" borderId="1" xfId="5" applyNumberFormat="1" applyFont="1" applyFill="1" applyBorder="1" applyAlignment="1">
      <alignment horizontal="right" vertical="center" wrapText="1"/>
    </xf>
    <xf numFmtId="166" fontId="11" fillId="7" borderId="2" xfId="1" applyNumberFormat="1" applyFont="1" applyFill="1" applyBorder="1" applyAlignment="1">
      <alignment horizontal="right" vertical="center"/>
    </xf>
    <xf numFmtId="166" fontId="11" fillId="7" borderId="7" xfId="1" applyNumberFormat="1" applyFont="1" applyFill="1" applyBorder="1" applyAlignment="1">
      <alignment horizontal="right" vertical="center"/>
    </xf>
    <xf numFmtId="166" fontId="13" fillId="7" borderId="1" xfId="1" applyNumberFormat="1" applyFont="1" applyFill="1" applyBorder="1" applyAlignment="1">
      <alignment horizontal="center" vertical="center"/>
    </xf>
    <xf numFmtId="4" fontId="10" fillId="7" borderId="1" xfId="1" applyNumberFormat="1" applyFont="1" applyFill="1" applyBorder="1" applyAlignment="1">
      <alignment horizontal="center" vertical="center"/>
    </xf>
    <xf numFmtId="4" fontId="11" fillId="7" borderId="1" xfId="1" applyNumberFormat="1" applyFont="1" applyFill="1" applyBorder="1" applyAlignment="1">
      <alignment horizontal="right" vertical="center"/>
    </xf>
    <xf numFmtId="4" fontId="11" fillId="7" borderId="7" xfId="1" applyNumberFormat="1" applyFont="1" applyFill="1" applyBorder="1" applyAlignment="1">
      <alignment horizontal="right" vertical="center"/>
    </xf>
    <xf numFmtId="4" fontId="10" fillId="7" borderId="1" xfId="5" applyNumberFormat="1" applyFont="1" applyFill="1" applyBorder="1" applyAlignment="1">
      <alignment horizontal="center" vertical="center" wrapText="1"/>
    </xf>
    <xf numFmtId="4" fontId="13" fillId="7" borderId="1" xfId="1" applyNumberFormat="1" applyFont="1" applyFill="1" applyBorder="1" applyAlignment="1">
      <alignment horizontal="center" vertical="center"/>
    </xf>
    <xf numFmtId="4" fontId="10" fillId="8" borderId="2" xfId="1" applyNumberFormat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 wrapText="1"/>
    </xf>
    <xf numFmtId="166" fontId="10" fillId="8" borderId="1" xfId="1" applyNumberFormat="1" applyFont="1" applyFill="1" applyBorder="1" applyAlignment="1">
      <alignment horizontal="right" vertical="center"/>
    </xf>
    <xf numFmtId="166" fontId="13" fillId="8" borderId="1" xfId="1" applyNumberFormat="1" applyFont="1" applyFill="1" applyBorder="1" applyAlignment="1">
      <alignment horizontal="center" vertical="center"/>
    </xf>
    <xf numFmtId="166" fontId="10" fillId="8" borderId="7" xfId="1" applyNumberFormat="1" applyFont="1" applyFill="1" applyBorder="1" applyAlignment="1">
      <alignment horizontal="right" vertical="center"/>
    </xf>
    <xf numFmtId="0" fontId="2" fillId="9" borderId="1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166" fontId="10" fillId="9" borderId="2" xfId="5" applyNumberFormat="1" applyFont="1" applyFill="1" applyBorder="1" applyAlignment="1">
      <alignment horizontal="center" vertical="center" wrapText="1"/>
    </xf>
    <xf numFmtId="166" fontId="10" fillId="9" borderId="1" xfId="5" applyNumberFormat="1" applyFont="1" applyFill="1" applyBorder="1" applyAlignment="1">
      <alignment horizontal="center" vertical="center" wrapText="1"/>
    </xf>
    <xf numFmtId="166" fontId="11" fillId="9" borderId="1" xfId="5" applyNumberFormat="1" applyFont="1" applyFill="1" applyBorder="1" applyAlignment="1">
      <alignment horizontal="center" vertical="center"/>
    </xf>
    <xf numFmtId="166" fontId="11" fillId="9" borderId="2" xfId="5" applyNumberFormat="1" applyFont="1" applyFill="1" applyBorder="1" applyAlignment="1">
      <alignment horizontal="center" vertical="center"/>
    </xf>
    <xf numFmtId="166" fontId="11" fillId="9" borderId="7" xfId="5" applyNumberFormat="1" applyFont="1" applyFill="1" applyBorder="1" applyAlignment="1">
      <alignment horizontal="right" vertical="center"/>
    </xf>
    <xf numFmtId="166" fontId="13" fillId="9" borderId="1" xfId="1" applyNumberFormat="1" applyFont="1" applyFill="1" applyBorder="1" applyAlignment="1">
      <alignment horizontal="center" vertical="center"/>
    </xf>
    <xf numFmtId="166" fontId="11" fillId="9" borderId="1" xfId="5" applyNumberFormat="1" applyFont="1" applyFill="1" applyBorder="1" applyAlignment="1">
      <alignment horizontal="right" vertical="center"/>
    </xf>
    <xf numFmtId="4" fontId="10" fillId="9" borderId="1" xfId="1" applyNumberFormat="1" applyFont="1" applyFill="1" applyBorder="1" applyAlignment="1">
      <alignment horizontal="center" vertical="center"/>
    </xf>
    <xf numFmtId="166" fontId="11" fillId="9" borderId="6" xfId="5" applyNumberFormat="1" applyFont="1" applyFill="1" applyBorder="1" applyAlignment="1">
      <alignment horizontal="right" vertical="center"/>
    </xf>
    <xf numFmtId="4" fontId="10" fillId="9" borderId="1" xfId="5" applyNumberFormat="1" applyFont="1" applyFill="1" applyBorder="1" applyAlignment="1">
      <alignment horizontal="center" vertical="center" wrapText="1"/>
    </xf>
    <xf numFmtId="4" fontId="13" fillId="9" borderId="1" xfId="1" applyNumberFormat="1" applyFont="1" applyFill="1" applyBorder="1" applyAlignment="1">
      <alignment horizontal="center" vertical="center"/>
    </xf>
    <xf numFmtId="166" fontId="10" fillId="9" borderId="1" xfId="1" applyNumberFormat="1" applyFont="1" applyFill="1" applyBorder="1" applyAlignment="1">
      <alignment horizontal="right" vertical="center"/>
    </xf>
    <xf numFmtId="166" fontId="10" fillId="9" borderId="2" xfId="1" applyNumberFormat="1" applyFont="1" applyFill="1" applyBorder="1" applyAlignment="1">
      <alignment horizontal="center" vertical="center"/>
    </xf>
    <xf numFmtId="166" fontId="10" fillId="9" borderId="1" xfId="1" applyNumberFormat="1" applyFont="1" applyFill="1" applyBorder="1" applyAlignment="1">
      <alignment horizontal="center" vertical="center"/>
    </xf>
    <xf numFmtId="166" fontId="15" fillId="9" borderId="1" xfId="0" applyNumberFormat="1" applyFont="1" applyFill="1" applyBorder="1" applyAlignment="1">
      <alignment horizontal="right" vertical="center"/>
    </xf>
    <xf numFmtId="166" fontId="15" fillId="9" borderId="7" xfId="0" applyNumberFormat="1" applyFont="1" applyFill="1" applyBorder="1" applyAlignment="1">
      <alignment horizontal="right" vertical="center"/>
    </xf>
    <xf numFmtId="166" fontId="15" fillId="9" borderId="6" xfId="0" applyNumberFormat="1" applyFont="1" applyFill="1" applyBorder="1" applyAlignment="1">
      <alignment horizontal="right" vertical="center"/>
    </xf>
    <xf numFmtId="166" fontId="10" fillId="8" borderId="7" xfId="1" applyNumberFormat="1" applyFont="1" applyFill="1" applyBorder="1" applyAlignment="1">
      <alignment horizontal="center" vertical="center"/>
    </xf>
    <xf numFmtId="166" fontId="10" fillId="8" borderId="6" xfId="1" applyNumberFormat="1" applyFont="1" applyFill="1" applyBorder="1" applyAlignment="1">
      <alignment horizontal="right" vertical="center"/>
    </xf>
    <xf numFmtId="4" fontId="10" fillId="8" borderId="1" xfId="5" applyNumberFormat="1" applyFont="1" applyFill="1" applyBorder="1" applyAlignment="1">
      <alignment horizontal="center" vertical="center" wrapText="1"/>
    </xf>
    <xf numFmtId="4" fontId="13" fillId="8" borderId="1" xfId="1" applyNumberFormat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 wrapText="1"/>
    </xf>
    <xf numFmtId="166" fontId="10" fillId="9" borderId="2" xfId="1" applyNumberFormat="1" applyFont="1" applyFill="1" applyBorder="1" applyAlignment="1">
      <alignment horizontal="right" vertical="center"/>
    </xf>
    <xf numFmtId="166" fontId="10" fillId="9" borderId="7" xfId="1" applyNumberFormat="1" applyFont="1" applyFill="1" applyBorder="1" applyAlignment="1">
      <alignment horizontal="right" vertical="center"/>
    </xf>
    <xf numFmtId="166" fontId="10" fillId="9" borderId="6" xfId="1" applyNumberFormat="1" applyFont="1" applyFill="1" applyBorder="1" applyAlignment="1">
      <alignment horizontal="center" vertical="center"/>
    </xf>
    <xf numFmtId="166" fontId="10" fillId="9" borderId="7" xfId="1" applyNumberFormat="1" applyFont="1" applyFill="1" applyBorder="1" applyAlignment="1">
      <alignment horizontal="center" vertical="center"/>
    </xf>
    <xf numFmtId="166" fontId="10" fillId="8" borderId="2" xfId="1" applyNumberFormat="1" applyFont="1" applyFill="1" applyBorder="1" applyAlignment="1">
      <alignment horizontal="center" vertical="center"/>
    </xf>
    <xf numFmtId="166" fontId="10" fillId="8" borderId="1" xfId="1" applyNumberFormat="1" applyFont="1" applyFill="1" applyBorder="1" applyAlignment="1">
      <alignment horizontal="center" vertical="center"/>
    </xf>
    <xf numFmtId="166" fontId="15" fillId="9" borderId="1" xfId="0" applyNumberFormat="1" applyFont="1" applyFill="1" applyBorder="1" applyAlignment="1">
      <alignment horizontal="center" vertical="center"/>
    </xf>
    <xf numFmtId="166" fontId="15" fillId="9" borderId="2" xfId="0" applyNumberFormat="1" applyFont="1" applyFill="1" applyBorder="1" applyAlignment="1">
      <alignment horizontal="center" vertical="center"/>
    </xf>
    <xf numFmtId="166" fontId="15" fillId="9" borderId="7" xfId="0" applyNumberFormat="1" applyFont="1" applyFill="1" applyBorder="1" applyAlignment="1">
      <alignment horizontal="center" vertical="center"/>
    </xf>
    <xf numFmtId="166" fontId="13" fillId="10" borderId="1" xfId="1" applyNumberFormat="1" applyFont="1" applyFill="1" applyBorder="1" applyAlignment="1">
      <alignment horizontal="center" vertical="center"/>
    </xf>
    <xf numFmtId="4" fontId="10" fillId="10" borderId="1" xfId="1" applyNumberFormat="1" applyFont="1" applyFill="1" applyBorder="1" applyAlignment="1">
      <alignment horizontal="center" vertical="center"/>
    </xf>
    <xf numFmtId="166" fontId="11" fillId="10" borderId="1" xfId="1" applyNumberFormat="1" applyFont="1" applyFill="1" applyBorder="1" applyAlignment="1">
      <alignment horizontal="right" vertical="center"/>
    </xf>
    <xf numFmtId="166" fontId="11" fillId="10" borderId="6" xfId="1" applyNumberFormat="1" applyFont="1" applyFill="1" applyBorder="1" applyAlignment="1">
      <alignment horizontal="right" vertical="center"/>
    </xf>
    <xf numFmtId="166" fontId="11" fillId="10" borderId="7" xfId="1" applyNumberFormat="1" applyFont="1" applyFill="1" applyBorder="1" applyAlignment="1">
      <alignment horizontal="right" vertical="center"/>
    </xf>
    <xf numFmtId="4" fontId="10" fillId="10" borderId="1" xfId="5" applyNumberFormat="1" applyFont="1" applyFill="1" applyBorder="1" applyAlignment="1">
      <alignment horizontal="center" vertical="center" wrapText="1"/>
    </xf>
    <xf numFmtId="4" fontId="13" fillId="10" borderId="1" xfId="1" applyNumberFormat="1" applyFont="1" applyFill="1" applyBorder="1" applyAlignment="1">
      <alignment horizontal="center" vertical="center"/>
    </xf>
    <xf numFmtId="166" fontId="11" fillId="10" borderId="2" xfId="1" applyNumberFormat="1" applyFont="1" applyFill="1" applyBorder="1" applyAlignment="1">
      <alignment horizontal="right" vertical="center"/>
    </xf>
    <xf numFmtId="166" fontId="10" fillId="10" borderId="2" xfId="1" applyNumberFormat="1" applyFont="1" applyFill="1" applyBorder="1" applyAlignment="1">
      <alignment horizontal="center" vertical="center"/>
    </xf>
    <xf numFmtId="166" fontId="10" fillId="10" borderId="1" xfId="5" applyNumberFormat="1" applyFont="1" applyFill="1" applyBorder="1" applyAlignment="1">
      <alignment horizontal="center" vertical="center" wrapText="1"/>
    </xf>
    <xf numFmtId="166" fontId="10" fillId="10" borderId="2" xfId="5" applyNumberFormat="1" applyFont="1" applyFill="1" applyBorder="1" applyAlignment="1">
      <alignment horizontal="center" vertical="center" wrapText="1"/>
    </xf>
    <xf numFmtId="166" fontId="10" fillId="10" borderId="1" xfId="1" applyNumberFormat="1" applyFont="1" applyFill="1" applyBorder="1" applyAlignment="1">
      <alignment horizontal="center" vertical="center"/>
    </xf>
    <xf numFmtId="0" fontId="5" fillId="10" borderId="2" xfId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166" fontId="10" fillId="11" borderId="1" xfId="5" applyNumberFormat="1" applyFont="1" applyFill="1" applyBorder="1" applyAlignment="1">
      <alignment horizontal="center" vertical="center" wrapText="1"/>
    </xf>
    <xf numFmtId="166" fontId="13" fillId="11" borderId="1" xfId="1" applyNumberFormat="1" applyFont="1" applyFill="1" applyBorder="1" applyAlignment="1">
      <alignment horizontal="center" vertical="center"/>
    </xf>
    <xf numFmtId="166" fontId="10" fillId="11" borderId="7" xfId="5" applyNumberFormat="1" applyFont="1" applyFill="1" applyBorder="1" applyAlignment="1">
      <alignment horizontal="center" vertical="center" wrapText="1"/>
    </xf>
    <xf numFmtId="0" fontId="8" fillId="12" borderId="1" xfId="1" applyFont="1" applyFill="1" applyBorder="1" applyAlignment="1">
      <alignment vertical="center"/>
    </xf>
    <xf numFmtId="0" fontId="7" fillId="12" borderId="1" xfId="1" applyFont="1" applyFill="1" applyBorder="1" applyAlignment="1">
      <alignment horizontal="center" vertical="center"/>
    </xf>
    <xf numFmtId="166" fontId="13" fillId="12" borderId="1" xfId="5" applyNumberFormat="1" applyFont="1" applyFill="1" applyBorder="1" applyAlignment="1">
      <alignment horizontal="center" vertical="center"/>
    </xf>
    <xf numFmtId="166" fontId="8" fillId="12" borderId="1" xfId="5" applyNumberFormat="1" applyFont="1" applyFill="1" applyBorder="1" applyAlignment="1">
      <alignment horizontal="center" vertical="center"/>
    </xf>
    <xf numFmtId="0" fontId="13" fillId="12" borderId="1" xfId="1" applyFont="1" applyFill="1" applyBorder="1" applyAlignment="1">
      <alignment vertical="center" wrapText="1"/>
    </xf>
    <xf numFmtId="0" fontId="12" fillId="12" borderId="1" xfId="1" applyFont="1" applyFill="1" applyBorder="1" applyAlignment="1">
      <alignment horizontal="center" wrapText="1"/>
    </xf>
    <xf numFmtId="166" fontId="13" fillId="12" borderId="1" xfId="5" applyNumberFormat="1" applyFont="1" applyFill="1" applyBorder="1" applyAlignment="1">
      <alignment horizontal="center" vertical="center" wrapText="1"/>
    </xf>
    <xf numFmtId="0" fontId="13" fillId="12" borderId="2" xfId="1" applyFont="1" applyFill="1" applyBorder="1" applyAlignment="1">
      <alignment vertical="center" wrapText="1"/>
    </xf>
    <xf numFmtId="0" fontId="12" fillId="12" borderId="2" xfId="1" applyFont="1" applyFill="1" applyBorder="1" applyAlignment="1">
      <alignment horizontal="center" wrapText="1"/>
    </xf>
    <xf numFmtId="166" fontId="13" fillId="12" borderId="2" xfId="5" applyNumberFormat="1" applyFont="1" applyFill="1" applyBorder="1" applyAlignment="1">
      <alignment horizontal="center" vertical="center"/>
    </xf>
    <xf numFmtId="166" fontId="13" fillId="12" borderId="2" xfId="5" applyNumberFormat="1" applyFont="1" applyFill="1" applyBorder="1" applyAlignment="1">
      <alignment horizontal="center" vertical="center" wrapText="1"/>
    </xf>
    <xf numFmtId="166" fontId="13" fillId="12" borderId="2" xfId="1" applyNumberFormat="1" applyFont="1" applyFill="1" applyBorder="1" applyAlignment="1">
      <alignment horizontal="center" vertical="center"/>
    </xf>
    <xf numFmtId="166" fontId="8" fillId="12" borderId="2" xfId="1" applyNumberFormat="1" applyFont="1" applyFill="1" applyBorder="1" applyAlignment="1">
      <alignment horizontal="center" vertical="center"/>
    </xf>
    <xf numFmtId="166" fontId="13" fillId="12" borderId="1" xfId="1" applyNumberFormat="1" applyFont="1" applyFill="1" applyBorder="1" applyAlignment="1">
      <alignment horizontal="center" vertical="center"/>
    </xf>
    <xf numFmtId="0" fontId="12" fillId="12" borderId="1" xfId="1" applyFont="1" applyFill="1" applyBorder="1" applyAlignment="1">
      <alignment horizontal="center" vertical="center" wrapText="1"/>
    </xf>
    <xf numFmtId="166" fontId="8" fillId="12" borderId="1" xfId="1" applyNumberFormat="1" applyFont="1" applyFill="1" applyBorder="1" applyAlignment="1">
      <alignment horizontal="center" vertical="center"/>
    </xf>
    <xf numFmtId="0" fontId="7" fillId="12" borderId="1" xfId="1" applyFont="1" applyFill="1" applyBorder="1" applyAlignment="1">
      <alignment horizontal="center"/>
    </xf>
    <xf numFmtId="166" fontId="13" fillId="12" borderId="1" xfId="5" applyNumberFormat="1" applyFont="1" applyFill="1" applyBorder="1" applyAlignment="1">
      <alignment horizontal="right" vertical="center" wrapText="1"/>
    </xf>
    <xf numFmtId="0" fontId="8" fillId="12" borderId="1" xfId="1" applyFont="1" applyFill="1" applyBorder="1" applyAlignment="1">
      <alignment vertical="center" wrapText="1"/>
    </xf>
    <xf numFmtId="0" fontId="8" fillId="12" borderId="1" xfId="1" applyFont="1" applyFill="1" applyBorder="1" applyAlignment="1">
      <alignment horizontal="left" vertical="center" wrapText="1"/>
    </xf>
    <xf numFmtId="0" fontId="8" fillId="12" borderId="4" xfId="1" applyFont="1" applyFill="1" applyBorder="1" applyAlignment="1">
      <alignment vertical="center" wrapText="1"/>
    </xf>
    <xf numFmtId="4" fontId="10" fillId="8" borderId="1" xfId="1" applyNumberFormat="1" applyFont="1" applyFill="1" applyBorder="1" applyAlignment="1">
      <alignment horizontal="center" vertical="center"/>
    </xf>
    <xf numFmtId="166" fontId="17" fillId="12" borderId="1" xfId="0" applyNumberFormat="1" applyFont="1" applyFill="1" applyBorder="1" applyAlignment="1">
      <alignment horizontal="center" vertical="center"/>
    </xf>
    <xf numFmtId="166" fontId="10" fillId="12" borderId="2" xfId="5" applyNumberFormat="1" applyFont="1" applyFill="1" applyBorder="1" applyAlignment="1">
      <alignment horizontal="center" vertical="center" wrapText="1"/>
    </xf>
    <xf numFmtId="166" fontId="11" fillId="12" borderId="2" xfId="1" applyNumberFormat="1" applyFont="1" applyFill="1" applyBorder="1" applyAlignment="1">
      <alignment horizontal="center" vertical="center"/>
    </xf>
    <xf numFmtId="166" fontId="13" fillId="12" borderId="7" xfId="5" applyNumberFormat="1" applyFont="1" applyFill="1" applyBorder="1" applyAlignment="1">
      <alignment horizontal="center" vertical="center" wrapText="1"/>
    </xf>
    <xf numFmtId="166" fontId="13" fillId="12" borderId="7" xfId="1" applyNumberFormat="1" applyFont="1" applyFill="1" applyBorder="1" applyAlignment="1">
      <alignment horizontal="center" vertical="center"/>
    </xf>
    <xf numFmtId="0" fontId="13" fillId="12" borderId="2" xfId="1" applyFont="1" applyFill="1" applyBorder="1" applyAlignment="1">
      <alignment wrapText="1"/>
    </xf>
    <xf numFmtId="0" fontId="12" fillId="12" borderId="2" xfId="1" applyFont="1" applyFill="1" applyBorder="1" applyAlignment="1">
      <alignment horizontal="center" vertical="center" wrapText="1"/>
    </xf>
    <xf numFmtId="0" fontId="13" fillId="12" borderId="1" xfId="1" applyFont="1" applyFill="1" applyBorder="1" applyAlignment="1">
      <alignment wrapText="1"/>
    </xf>
    <xf numFmtId="0" fontId="8" fillId="12" borderId="1" xfId="1" applyFont="1" applyFill="1" applyBorder="1" applyAlignment="1">
      <alignment wrapText="1"/>
    </xf>
    <xf numFmtId="166" fontId="8" fillId="12" borderId="7" xfId="1" applyNumberFormat="1" applyFont="1" applyFill="1" applyBorder="1" applyAlignment="1">
      <alignment horizontal="center" vertical="center"/>
    </xf>
    <xf numFmtId="166" fontId="8" fillId="12" borderId="1" xfId="1" applyNumberFormat="1" applyFont="1" applyFill="1" applyBorder="1" applyAlignment="1">
      <alignment vertical="center" wrapText="1"/>
    </xf>
    <xf numFmtId="167" fontId="7" fillId="12" borderId="1" xfId="1" applyNumberFormat="1" applyFont="1" applyFill="1" applyBorder="1" applyAlignment="1">
      <alignment horizontal="center" vertical="center"/>
    </xf>
    <xf numFmtId="167" fontId="8" fillId="12" borderId="1" xfId="1" applyNumberFormat="1" applyFont="1" applyFill="1" applyBorder="1" applyAlignment="1">
      <alignment vertical="center" wrapText="1"/>
    </xf>
    <xf numFmtId="166" fontId="10" fillId="7" borderId="1" xfId="1" applyNumberFormat="1" applyFont="1" applyFill="1" applyBorder="1" applyAlignment="1">
      <alignment horizontal="center" vertical="center"/>
    </xf>
    <xf numFmtId="166" fontId="11" fillId="0" borderId="1" xfId="1" applyNumberFormat="1" applyFont="1" applyFill="1" applyBorder="1" applyAlignment="1">
      <alignment vertical="center" wrapText="1"/>
    </xf>
    <xf numFmtId="166" fontId="11" fillId="0" borderId="7" xfId="1" applyNumberFormat="1" applyFont="1" applyFill="1" applyBorder="1" applyAlignment="1">
      <alignment vertical="center" wrapText="1"/>
    </xf>
    <xf numFmtId="0" fontId="8" fillId="12" borderId="7" xfId="1" applyFont="1" applyFill="1" applyBorder="1" applyAlignment="1">
      <alignment vertical="center" wrapText="1"/>
    </xf>
    <xf numFmtId="0" fontId="7" fillId="12" borderId="7" xfId="1" applyFont="1" applyFill="1" applyBorder="1" applyAlignment="1">
      <alignment horizontal="center" vertical="center"/>
    </xf>
    <xf numFmtId="4" fontId="13" fillId="12" borderId="1" xfId="1" applyNumberFormat="1" applyFont="1" applyFill="1" applyBorder="1" applyAlignment="1">
      <alignment horizontal="center" vertical="center"/>
    </xf>
    <xf numFmtId="0" fontId="13" fillId="12" borderId="1" xfId="1" applyFont="1" applyFill="1" applyBorder="1" applyAlignment="1">
      <alignment horizontal="left" vertical="center" wrapText="1"/>
    </xf>
    <xf numFmtId="4" fontId="13" fillId="12" borderId="1" xfId="5" applyNumberFormat="1" applyFont="1" applyFill="1" applyBorder="1" applyAlignment="1">
      <alignment horizontal="center" vertical="center" wrapText="1"/>
    </xf>
    <xf numFmtId="166" fontId="11" fillId="9" borderId="7" xfId="5" applyNumberFormat="1" applyFont="1" applyFill="1" applyBorder="1" applyAlignment="1">
      <alignment horizontal="center" vertical="center"/>
    </xf>
    <xf numFmtId="166" fontId="10" fillId="7" borderId="1" xfId="5" applyNumberFormat="1" applyFont="1" applyFill="1" applyBorder="1" applyAlignment="1">
      <alignment horizontal="center" vertical="center" wrapText="1"/>
    </xf>
    <xf numFmtId="0" fontId="5" fillId="14" borderId="2" xfId="1" applyFont="1" applyFill="1" applyBorder="1" applyAlignment="1">
      <alignment horizontal="center" vertical="center" wrapText="1"/>
    </xf>
    <xf numFmtId="166" fontId="10" fillId="14" borderId="1" xfId="1" applyNumberFormat="1" applyFont="1" applyFill="1" applyBorder="1" applyAlignment="1">
      <alignment horizontal="right" vertical="center"/>
    </xf>
    <xf numFmtId="166" fontId="10" fillId="14" borderId="2" xfId="1" applyNumberFormat="1" applyFont="1" applyFill="1" applyBorder="1" applyAlignment="1">
      <alignment horizontal="center" vertical="center"/>
    </xf>
    <xf numFmtId="166" fontId="10" fillId="14" borderId="1" xfId="1" applyNumberFormat="1" applyFont="1" applyFill="1" applyBorder="1" applyAlignment="1">
      <alignment horizontal="center" vertical="center"/>
    </xf>
    <xf numFmtId="166" fontId="10" fillId="14" borderId="7" xfId="1" applyNumberFormat="1" applyFont="1" applyFill="1" applyBorder="1" applyAlignment="1">
      <alignment horizontal="center" vertical="center"/>
    </xf>
    <xf numFmtId="166" fontId="11" fillId="14" borderId="1" xfId="5" applyNumberFormat="1" applyFont="1" applyFill="1" applyBorder="1" applyAlignment="1">
      <alignment horizontal="center" vertical="center"/>
    </xf>
    <xf numFmtId="166" fontId="11" fillId="14" borderId="7" xfId="5" applyNumberFormat="1" applyFont="1" applyFill="1" applyBorder="1" applyAlignment="1">
      <alignment horizontal="center" vertical="center"/>
    </xf>
    <xf numFmtId="166" fontId="13" fillId="14" borderId="1" xfId="1" applyNumberFormat="1" applyFont="1" applyFill="1" applyBorder="1" applyAlignment="1">
      <alignment horizontal="center" vertical="center"/>
    </xf>
    <xf numFmtId="4" fontId="10" fillId="14" borderId="1" xfId="1" applyNumberFormat="1" applyFont="1" applyFill="1" applyBorder="1" applyAlignment="1">
      <alignment horizontal="center" vertical="center"/>
    </xf>
    <xf numFmtId="4" fontId="10" fillId="14" borderId="6" xfId="1" applyNumberFormat="1" applyFont="1" applyFill="1" applyBorder="1" applyAlignment="1">
      <alignment horizontal="center" vertical="center"/>
    </xf>
    <xf numFmtId="4" fontId="10" fillId="14" borderId="7" xfId="1" applyNumberFormat="1" applyFont="1" applyFill="1" applyBorder="1" applyAlignment="1">
      <alignment horizontal="center" vertical="center"/>
    </xf>
    <xf numFmtId="4" fontId="10" fillId="14" borderId="1" xfId="5" applyNumberFormat="1" applyFont="1" applyFill="1" applyBorder="1" applyAlignment="1">
      <alignment horizontal="center" vertical="center" wrapText="1"/>
    </xf>
    <xf numFmtId="4" fontId="13" fillId="14" borderId="1" xfId="1" applyNumberFormat="1" applyFont="1" applyFill="1" applyBorder="1" applyAlignment="1">
      <alignment horizontal="center" vertical="center"/>
    </xf>
    <xf numFmtId="4" fontId="13" fillId="15" borderId="8" xfId="1" applyNumberFormat="1" applyFont="1" applyFill="1" applyBorder="1" applyAlignment="1">
      <alignment horizontal="center" vertical="center" wrapText="1"/>
    </xf>
    <xf numFmtId="166" fontId="10" fillId="14" borderId="6" xfId="1" applyNumberFormat="1" applyFont="1" applyFill="1" applyBorder="1" applyAlignment="1">
      <alignment horizontal="center" vertical="center"/>
    </xf>
    <xf numFmtId="166" fontId="10" fillId="14" borderId="7" xfId="1" applyNumberFormat="1" applyFont="1" applyFill="1" applyBorder="1" applyAlignment="1">
      <alignment horizontal="right" vertical="center"/>
    </xf>
    <xf numFmtId="166" fontId="13" fillId="12" borderId="4" xfId="5" applyNumberFormat="1" applyFont="1" applyFill="1" applyBorder="1" applyAlignment="1">
      <alignment horizontal="center" vertical="center" wrapText="1"/>
    </xf>
    <xf numFmtId="166" fontId="8" fillId="12" borderId="2" xfId="5" applyNumberFormat="1" applyFont="1" applyFill="1" applyBorder="1" applyAlignment="1">
      <alignment horizontal="center" vertical="center"/>
    </xf>
    <xf numFmtId="0" fontId="7" fillId="16" borderId="1" xfId="1" applyFont="1" applyFill="1" applyBorder="1" applyAlignment="1">
      <alignment horizontal="center" vertical="center"/>
    </xf>
    <xf numFmtId="4" fontId="13" fillId="16" borderId="1" xfId="1" applyNumberFormat="1" applyFont="1" applyFill="1" applyBorder="1" applyAlignment="1">
      <alignment horizontal="center" vertical="center"/>
    </xf>
    <xf numFmtId="0" fontId="8" fillId="16" borderId="1" xfId="1" applyFont="1" applyFill="1" applyBorder="1" applyAlignment="1">
      <alignment horizontal="left" vertical="center" wrapText="1"/>
    </xf>
    <xf numFmtId="4" fontId="13" fillId="5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vertical="center" wrapText="1"/>
    </xf>
    <xf numFmtId="166" fontId="10" fillId="0" borderId="7" xfId="5" applyNumberFormat="1" applyFont="1" applyFill="1" applyBorder="1" applyAlignment="1">
      <alignment horizontal="center" vertical="center" wrapText="1"/>
    </xf>
    <xf numFmtId="0" fontId="8" fillId="13" borderId="1" xfId="1" applyFont="1" applyFill="1" applyBorder="1" applyAlignment="1">
      <alignment vertical="center" wrapText="1"/>
    </xf>
    <xf numFmtId="0" fontId="7" fillId="13" borderId="1" xfId="1" applyFont="1" applyFill="1" applyBorder="1" applyAlignment="1">
      <alignment horizontal="center" vertical="center"/>
    </xf>
    <xf numFmtId="0" fontId="19" fillId="6" borderId="2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166" fontId="10" fillId="6" borderId="6" xfId="5" applyNumberFormat="1" applyFont="1" applyFill="1" applyBorder="1" applyAlignment="1">
      <alignment horizontal="center" vertical="center" wrapText="1"/>
    </xf>
    <xf numFmtId="4" fontId="11" fillId="7" borderId="1" xfId="1" applyNumberFormat="1" applyFont="1" applyFill="1" applyBorder="1" applyAlignment="1">
      <alignment horizontal="center" vertical="center"/>
    </xf>
    <xf numFmtId="166" fontId="11" fillId="7" borderId="7" xfId="1" applyNumberFormat="1" applyFont="1" applyFill="1" applyBorder="1" applyAlignment="1">
      <alignment horizontal="center" vertical="center"/>
    </xf>
    <xf numFmtId="4" fontId="11" fillId="7" borderId="6" xfId="1" applyNumberFormat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 wrapText="1"/>
    </xf>
    <xf numFmtId="166" fontId="8" fillId="4" borderId="9" xfId="1" applyNumberFormat="1" applyFont="1" applyFill="1" applyBorder="1" applyAlignment="1">
      <alignment wrapText="1"/>
    </xf>
    <xf numFmtId="166" fontId="8" fillId="4" borderId="9" xfId="1" applyNumberFormat="1" applyFont="1" applyFill="1" applyBorder="1" applyAlignment="1">
      <alignment horizontal="center" wrapText="1"/>
    </xf>
    <xf numFmtId="166" fontId="8" fillId="4" borderId="4" xfId="1" applyNumberFormat="1" applyFont="1" applyFill="1" applyBorder="1" applyAlignment="1">
      <alignment wrapText="1"/>
    </xf>
    <xf numFmtId="4" fontId="11" fillId="0" borderId="1" xfId="1" applyNumberFormat="1" applyFont="1" applyFill="1" applyBorder="1" applyAlignment="1">
      <alignment horizontal="center" vertical="center"/>
    </xf>
    <xf numFmtId="4" fontId="13" fillId="12" borderId="2" xfId="5" applyNumberFormat="1" applyFont="1" applyFill="1" applyBorder="1" applyAlignment="1">
      <alignment horizontal="center" vertical="center"/>
    </xf>
    <xf numFmtId="4" fontId="11" fillId="0" borderId="7" xfId="5" applyNumberFormat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166" fontId="13" fillId="5" borderId="7" xfId="1" applyNumberFormat="1" applyFont="1" applyFill="1" applyBorder="1" applyAlignment="1">
      <alignment horizontal="center" vertical="center"/>
    </xf>
    <xf numFmtId="167" fontId="7" fillId="12" borderId="2" xfId="1" applyNumberFormat="1" applyFont="1" applyFill="1" applyBorder="1" applyAlignment="1">
      <alignment horizontal="center" vertical="center"/>
    </xf>
    <xf numFmtId="166" fontId="13" fillId="4" borderId="4" xfId="1" applyNumberFormat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vertical="center" wrapText="1"/>
    </xf>
    <xf numFmtId="166" fontId="8" fillId="12" borderId="2" xfId="1" applyNumberFormat="1" applyFont="1" applyFill="1" applyBorder="1" applyAlignment="1">
      <alignment vertical="center" wrapText="1"/>
    </xf>
    <xf numFmtId="166" fontId="13" fillId="4" borderId="9" xfId="1" applyNumberFormat="1" applyFont="1" applyFill="1" applyBorder="1" applyAlignment="1">
      <alignment horizontal="center" vertical="center"/>
    </xf>
    <xf numFmtId="4" fontId="13" fillId="5" borderId="7" xfId="1" applyNumberFormat="1" applyFont="1" applyFill="1" applyBorder="1" applyAlignment="1">
      <alignment horizontal="center" vertical="center"/>
    </xf>
    <xf numFmtId="0" fontId="7" fillId="12" borderId="2" xfId="1" applyFont="1" applyFill="1" applyBorder="1" applyAlignment="1">
      <alignment horizontal="center" vertical="center"/>
    </xf>
    <xf numFmtId="166" fontId="13" fillId="12" borderId="6" xfId="5" applyNumberFormat="1" applyFont="1" applyFill="1" applyBorder="1" applyAlignment="1">
      <alignment horizontal="center" vertical="center" wrapText="1"/>
    </xf>
    <xf numFmtId="166" fontId="13" fillId="4" borderId="9" xfId="5" applyNumberFormat="1" applyFont="1" applyFill="1" applyBorder="1" applyAlignment="1">
      <alignment horizontal="center" vertical="center" wrapText="1"/>
    </xf>
    <xf numFmtId="4" fontId="13" fillId="4" borderId="4" xfId="1" applyNumberFormat="1" applyFont="1" applyFill="1" applyBorder="1" applyAlignment="1">
      <alignment horizontal="center" vertical="center"/>
    </xf>
    <xf numFmtId="4" fontId="13" fillId="12" borderId="1" xfId="5" applyNumberFormat="1" applyFont="1" applyFill="1" applyBorder="1" applyAlignment="1">
      <alignment horizontal="center" vertical="center"/>
    </xf>
    <xf numFmtId="4" fontId="10" fillId="0" borderId="2" xfId="5" applyNumberFormat="1" applyFont="1" applyFill="1" applyBorder="1" applyAlignment="1">
      <alignment horizontal="center" vertical="center" wrapText="1"/>
    </xf>
    <xf numFmtId="4" fontId="13" fillId="12" borderId="2" xfId="5" applyNumberFormat="1" applyFont="1" applyFill="1" applyBorder="1" applyAlignment="1">
      <alignment horizontal="center" vertical="center" wrapText="1"/>
    </xf>
    <xf numFmtId="4" fontId="8" fillId="12" borderId="1" xfId="5" applyNumberFormat="1" applyFont="1" applyFill="1" applyBorder="1" applyAlignment="1">
      <alignment horizontal="center" vertical="center"/>
    </xf>
    <xf numFmtId="4" fontId="12" fillId="12" borderId="1" xfId="5" applyNumberFormat="1" applyFont="1" applyFill="1" applyBorder="1" applyAlignment="1">
      <alignment horizontal="center" vertical="center" wrapText="1"/>
    </xf>
    <xf numFmtId="4" fontId="13" fillId="12" borderId="4" xfId="5" applyNumberFormat="1" applyFont="1" applyFill="1" applyBorder="1" applyAlignment="1">
      <alignment horizontal="center" vertical="center" wrapText="1"/>
    </xf>
    <xf numFmtId="4" fontId="13" fillId="12" borderId="2" xfId="1" applyNumberFormat="1" applyFont="1" applyFill="1" applyBorder="1" applyAlignment="1">
      <alignment horizontal="center" vertical="center"/>
    </xf>
    <xf numFmtId="4" fontId="11" fillId="0" borderId="2" xfId="5" applyNumberFormat="1" applyFont="1" applyFill="1" applyBorder="1" applyAlignment="1">
      <alignment horizontal="center" vertical="center"/>
    </xf>
    <xf numFmtId="4" fontId="8" fillId="12" borderId="1" xfId="1" applyNumberFormat="1" applyFont="1" applyFill="1" applyBorder="1" applyAlignment="1">
      <alignment horizontal="center" vertical="center"/>
    </xf>
    <xf numFmtId="4" fontId="13" fillId="12" borderId="7" xfId="5" applyNumberFormat="1" applyFont="1" applyFill="1" applyBorder="1" applyAlignment="1">
      <alignment horizontal="center" vertical="center" wrapText="1"/>
    </xf>
    <xf numFmtId="4" fontId="13" fillId="4" borderId="9" xfId="5" applyNumberFormat="1" applyFont="1" applyFill="1" applyBorder="1" applyAlignment="1">
      <alignment horizontal="center" vertical="center" wrapText="1"/>
    </xf>
    <xf numFmtId="4" fontId="13" fillId="12" borderId="6" xfId="5" applyNumberFormat="1" applyFont="1" applyFill="1" applyBorder="1" applyAlignment="1">
      <alignment horizontal="center" vertical="center" wrapText="1"/>
    </xf>
    <xf numFmtId="4" fontId="10" fillId="4" borderId="3" xfId="1" applyNumberFormat="1" applyFont="1" applyFill="1" applyBorder="1" applyAlignment="1">
      <alignment vertical="center"/>
    </xf>
    <xf numFmtId="4" fontId="10" fillId="4" borderId="9" xfId="1" applyNumberFormat="1" applyFont="1" applyFill="1" applyBorder="1" applyAlignment="1">
      <alignment vertical="center"/>
    </xf>
    <xf numFmtId="4" fontId="10" fillId="4" borderId="4" xfId="1" applyNumberFormat="1" applyFont="1" applyFill="1" applyBorder="1" applyAlignment="1">
      <alignment vertical="center"/>
    </xf>
    <xf numFmtId="166" fontId="13" fillId="5" borderId="13" xfId="1" applyNumberFormat="1" applyFont="1" applyFill="1" applyBorder="1" applyAlignment="1">
      <alignment horizontal="center" vertical="center"/>
    </xf>
    <xf numFmtId="4" fontId="13" fillId="5" borderId="13" xfId="1" applyNumberFormat="1" applyFont="1" applyFill="1" applyBorder="1" applyAlignment="1">
      <alignment horizontal="center" vertical="center"/>
    </xf>
    <xf numFmtId="4" fontId="8" fillId="4" borderId="9" xfId="1" applyNumberFormat="1" applyFont="1" applyFill="1" applyBorder="1" applyAlignment="1">
      <alignment horizontal="center" vertical="center" wrapText="1"/>
    </xf>
    <xf numFmtId="4" fontId="8" fillId="4" borderId="4" xfId="1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vertical="center" wrapText="1"/>
    </xf>
    <xf numFmtId="0" fontId="5" fillId="4" borderId="9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vertical="center" wrapText="1"/>
    </xf>
    <xf numFmtId="4" fontId="13" fillId="13" borderId="7" xfId="1" applyNumberFormat="1" applyFont="1" applyFill="1" applyBorder="1" applyAlignment="1">
      <alignment horizontal="center" vertical="center"/>
    </xf>
    <xf numFmtId="4" fontId="9" fillId="17" borderId="1" xfId="5" applyNumberFormat="1" applyFont="1" applyFill="1" applyBorder="1" applyAlignment="1">
      <alignment horizontal="center" vertical="center"/>
    </xf>
    <xf numFmtId="4" fontId="10" fillId="17" borderId="1" xfId="5" applyNumberFormat="1" applyFont="1" applyFill="1" applyBorder="1" applyAlignment="1">
      <alignment horizontal="center" vertical="center"/>
    </xf>
    <xf numFmtId="4" fontId="9" fillId="17" borderId="2" xfId="5" applyNumberFormat="1" applyFont="1" applyFill="1" applyBorder="1" applyAlignment="1">
      <alignment horizontal="center" vertical="center"/>
    </xf>
    <xf numFmtId="4" fontId="9" fillId="17" borderId="7" xfId="5" applyNumberFormat="1" applyFont="1" applyFill="1" applyBorder="1" applyAlignment="1">
      <alignment horizontal="center" vertical="center"/>
    </xf>
    <xf numFmtId="4" fontId="13" fillId="17" borderId="1" xfId="1" applyNumberFormat="1" applyFont="1" applyFill="1" applyBorder="1" applyAlignment="1">
      <alignment horizontal="center" vertical="center"/>
    </xf>
    <xf numFmtId="4" fontId="13" fillId="17" borderId="7" xfId="1" applyNumberFormat="1" applyFont="1" applyFill="1" applyBorder="1" applyAlignment="1">
      <alignment horizontal="center" vertical="center"/>
    </xf>
    <xf numFmtId="4" fontId="10" fillId="17" borderId="1" xfId="1" applyNumberFormat="1" applyFont="1" applyFill="1" applyBorder="1" applyAlignment="1">
      <alignment horizontal="center" vertical="center"/>
    </xf>
    <xf numFmtId="4" fontId="13" fillId="17" borderId="6" xfId="1" applyNumberFormat="1" applyFont="1" applyFill="1" applyBorder="1" applyAlignment="1">
      <alignment horizontal="center" vertical="center"/>
    </xf>
    <xf numFmtId="4" fontId="10" fillId="17" borderId="1" xfId="5" applyNumberFormat="1" applyFont="1" applyFill="1" applyBorder="1" applyAlignment="1">
      <alignment horizontal="center" vertical="center" wrapText="1"/>
    </xf>
    <xf numFmtId="166" fontId="10" fillId="0" borderId="6" xfId="1" applyNumberFormat="1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 wrapText="1"/>
    </xf>
    <xf numFmtId="166" fontId="8" fillId="4" borderId="3" xfId="1" applyNumberFormat="1" applyFont="1" applyFill="1" applyBorder="1" applyAlignment="1">
      <alignment horizontal="center" vertical="center" wrapText="1"/>
    </xf>
    <xf numFmtId="166" fontId="7" fillId="4" borderId="4" xfId="1" applyNumberFormat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31" fillId="2" borderId="1" xfId="1" applyFont="1" applyFill="1" applyBorder="1" applyAlignment="1">
      <alignment vertical="center" wrapText="1"/>
    </xf>
    <xf numFmtId="49" fontId="2" fillId="6" borderId="4" xfId="1" applyNumberFormat="1" applyFont="1" applyFill="1" applyBorder="1" applyAlignment="1">
      <alignment horizontal="center" vertical="center" wrapText="1"/>
    </xf>
    <xf numFmtId="167" fontId="10" fillId="0" borderId="2" xfId="1" applyNumberFormat="1" applyFont="1" applyFill="1" applyBorder="1" applyAlignment="1">
      <alignment vertical="center" wrapText="1"/>
    </xf>
    <xf numFmtId="2" fontId="10" fillId="0" borderId="1" xfId="1" applyNumberFormat="1" applyFont="1" applyFill="1" applyBorder="1" applyAlignment="1">
      <alignment vertical="center" wrapText="1"/>
    </xf>
    <xf numFmtId="166" fontId="8" fillId="4" borderId="9" xfId="1" applyNumberFormat="1" applyFont="1" applyFill="1" applyBorder="1" applyAlignment="1">
      <alignment horizontal="center" wrapText="1"/>
    </xf>
    <xf numFmtId="166" fontId="13" fillId="21" borderId="1" xfId="1" applyNumberFormat="1" applyFont="1" applyFill="1" applyBorder="1" applyAlignment="1">
      <alignment horizontal="center" vertical="center"/>
    </xf>
    <xf numFmtId="166" fontId="13" fillId="20" borderId="1" xfId="1" applyNumberFormat="1" applyFont="1" applyFill="1" applyBorder="1" applyAlignment="1">
      <alignment horizontal="center" vertical="center"/>
    </xf>
    <xf numFmtId="166" fontId="8" fillId="0" borderId="1" xfId="5" applyNumberFormat="1" applyFont="1" applyFill="1" applyBorder="1" applyAlignment="1">
      <alignment horizontal="center" vertical="center"/>
    </xf>
    <xf numFmtId="166" fontId="13" fillId="18" borderId="1" xfId="1" applyNumberFormat="1" applyFont="1" applyFill="1" applyBorder="1" applyAlignment="1">
      <alignment horizontal="center" vertical="center"/>
    </xf>
    <xf numFmtId="4" fontId="12" fillId="0" borderId="1" xfId="5" applyNumberFormat="1" applyFont="1" applyFill="1" applyBorder="1" applyAlignment="1">
      <alignment horizontal="center" vertical="center" wrapText="1"/>
    </xf>
    <xf numFmtId="4" fontId="12" fillId="18" borderId="1" xfId="5" applyNumberFormat="1" applyFont="1" applyFill="1" applyBorder="1" applyAlignment="1">
      <alignment horizontal="center" vertical="center" wrapText="1"/>
    </xf>
    <xf numFmtId="166" fontId="10" fillId="18" borderId="1" xfId="5" applyNumberFormat="1" applyFont="1" applyFill="1" applyBorder="1" applyAlignment="1">
      <alignment horizontal="center" vertical="center" wrapText="1"/>
    </xf>
    <xf numFmtId="166" fontId="10" fillId="19" borderId="1" xfId="5" applyNumberFormat="1" applyFont="1" applyFill="1" applyBorder="1" applyAlignment="1">
      <alignment horizontal="center" vertical="center" wrapText="1"/>
    </xf>
    <xf numFmtId="166" fontId="10" fillId="20" borderId="1" xfId="5" applyNumberFormat="1" applyFont="1" applyFill="1" applyBorder="1" applyAlignment="1">
      <alignment horizontal="center" vertical="center" wrapText="1"/>
    </xf>
    <xf numFmtId="166" fontId="10" fillId="21" borderId="1" xfId="1" applyNumberFormat="1" applyFont="1" applyFill="1" applyBorder="1" applyAlignment="1">
      <alignment horizontal="center" vertical="center"/>
    </xf>
    <xf numFmtId="166" fontId="10" fillId="20" borderId="1" xfId="1" applyNumberFormat="1" applyFont="1" applyFill="1" applyBorder="1" applyAlignment="1">
      <alignment horizontal="center" vertical="center"/>
    </xf>
    <xf numFmtId="0" fontId="2" fillId="9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9" borderId="7" xfId="1" applyFont="1" applyFill="1" applyBorder="1" applyAlignment="1">
      <alignment horizontal="center" vertical="center" wrapText="1"/>
    </xf>
    <xf numFmtId="0" fontId="5" fillId="14" borderId="7" xfId="1" applyFont="1" applyFill="1" applyBorder="1" applyAlignment="1">
      <alignment horizontal="center" vertical="center" wrapText="1"/>
    </xf>
    <xf numFmtId="40" fontId="9" fillId="17" borderId="1" xfId="5" applyNumberFormat="1" applyFont="1" applyFill="1" applyBorder="1" applyAlignment="1">
      <alignment horizontal="center" vertical="center" wrapText="1"/>
    </xf>
    <xf numFmtId="0" fontId="19" fillId="6" borderId="7" xfId="1" applyFont="1" applyFill="1" applyBorder="1" applyAlignment="1">
      <alignment horizontal="center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wrapText="1"/>
    </xf>
    <xf numFmtId="0" fontId="8" fillId="3" borderId="0" xfId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2" fillId="6" borderId="3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4" fontId="32" fillId="8" borderId="1" xfId="1" applyNumberFormat="1" applyFont="1" applyFill="1" applyBorder="1" applyAlignment="1">
      <alignment horizontal="center" vertical="center"/>
    </xf>
    <xf numFmtId="0" fontId="2" fillId="14" borderId="3" xfId="1" applyFont="1" applyFill="1" applyBorder="1" applyAlignment="1">
      <alignment horizontal="center" vertical="center" wrapText="1"/>
    </xf>
    <xf numFmtId="0" fontId="2" fillId="14" borderId="9" xfId="1" applyFont="1" applyFill="1" applyBorder="1" applyAlignment="1">
      <alignment horizontal="center" vertical="center" wrapText="1"/>
    </xf>
    <xf numFmtId="0" fontId="2" fillId="14" borderId="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2" fillId="9" borderId="7" xfId="1" applyFont="1" applyFill="1" applyBorder="1" applyAlignment="1">
      <alignment horizontal="center" vertical="center" wrapText="1"/>
    </xf>
    <xf numFmtId="0" fontId="2" fillId="9" borderId="2" xfId="1" applyFont="1" applyFill="1" applyBorder="1" applyAlignment="1">
      <alignment horizontal="center" vertical="center" wrapText="1"/>
    </xf>
    <xf numFmtId="0" fontId="2" fillId="6" borderId="7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5" fillId="10" borderId="7" xfId="1" applyFont="1" applyFill="1" applyBorder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15" borderId="11" xfId="1" applyFont="1" applyFill="1" applyBorder="1" applyAlignment="1">
      <alignment horizontal="left" vertical="center" wrapText="1"/>
    </xf>
    <xf numFmtId="0" fontId="7" fillId="15" borderId="8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left" vertical="center" wrapText="1"/>
    </xf>
    <xf numFmtId="0" fontId="2" fillId="14" borderId="7" xfId="1" applyFont="1" applyFill="1" applyBorder="1" applyAlignment="1">
      <alignment horizontal="center" vertical="center" wrapText="1"/>
    </xf>
    <xf numFmtId="0" fontId="2" fillId="14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Финансовый" xfId="5" builtinId="3"/>
  </cellStyles>
  <dxfs count="0"/>
  <tableStyles count="0" defaultTableStyle="TableStyleMedium9" defaultPivotStyle="PivotStyleLight16"/>
  <colors>
    <mruColors>
      <color rgb="FFFFCCCC"/>
      <color rgb="FFCCECFF"/>
      <color rgb="FFFFE1E1"/>
      <color rgb="FFCDFFCD"/>
      <color rgb="FFCCFFCC"/>
      <color rgb="FF9BFF9B"/>
      <color rgb="FF0000FF"/>
      <color rgb="FFFFFFCC"/>
      <color rgb="FFE5E1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CFF"/>
  </sheetPr>
  <dimension ref="A1:V348"/>
  <sheetViews>
    <sheetView tabSelected="1" zoomScale="50" zoomScaleNormal="50" zoomScaleSheetLayoutView="70" workbookViewId="0">
      <pane xSplit="2" ySplit="6" topLeftCell="H345" activePane="bottomRight" state="frozen"/>
      <selection sqref="A1:XFD1048576"/>
      <selection pane="topRight" sqref="A1:XFD1048576"/>
      <selection pane="bottomLeft" sqref="A1:XFD1048576"/>
      <selection pane="bottomRight" activeCell="Q23" sqref="Q23"/>
    </sheetView>
  </sheetViews>
  <sheetFormatPr defaultColWidth="10.28515625" defaultRowHeight="18" x14ac:dyDescent="0.25"/>
  <cols>
    <col min="1" max="1" width="76.5703125" style="14" customWidth="1"/>
    <col min="2" max="2" width="11" style="6" customWidth="1"/>
    <col min="3" max="4" width="21.7109375" style="6" customWidth="1"/>
    <col min="5" max="5" width="20" style="6" customWidth="1"/>
    <col min="6" max="6" width="17.5703125" style="6" customWidth="1"/>
    <col min="7" max="7" width="19.42578125" style="6" customWidth="1"/>
    <col min="8" max="8" width="18.7109375" style="6" customWidth="1"/>
    <col min="9" max="9" width="18.85546875" style="6" customWidth="1"/>
    <col min="10" max="11" width="20.42578125" style="6" customWidth="1"/>
    <col min="12" max="12" width="21.85546875" style="6" customWidth="1"/>
    <col min="13" max="13" width="19.42578125" style="6" customWidth="1"/>
    <col min="14" max="14" width="17.5703125" style="6" customWidth="1"/>
    <col min="15" max="15" width="18.85546875" style="6" customWidth="1"/>
    <col min="16" max="16" width="22.42578125" style="6" customWidth="1"/>
    <col min="17" max="17" width="19.140625" style="6" customWidth="1"/>
    <col min="18" max="18" width="19.5703125" style="6" customWidth="1"/>
    <col min="19" max="19" width="20" style="6" customWidth="1"/>
    <col min="20" max="20" width="18.28515625" style="6" customWidth="1"/>
    <col min="21" max="21" width="19.7109375" style="6" customWidth="1"/>
    <col min="22" max="22" width="20.140625" style="43" customWidth="1"/>
    <col min="23" max="16384" width="10.28515625" style="1"/>
  </cols>
  <sheetData>
    <row r="1" spans="1:22" ht="18.75" x14ac:dyDescent="0.3">
      <c r="A1" s="347" t="s">
        <v>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42"/>
    </row>
    <row r="2" spans="1:22" ht="18.75" x14ac:dyDescent="0.3">
      <c r="A2" s="348" t="s">
        <v>251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44"/>
    </row>
    <row r="3" spans="1:22" ht="18.75" x14ac:dyDescent="0.3">
      <c r="A3" s="349" t="s">
        <v>303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42"/>
    </row>
    <row r="4" spans="1:22" ht="18.75" x14ac:dyDescent="0.3">
      <c r="A4" s="29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350"/>
      <c r="P4" s="350"/>
      <c r="Q4" s="350"/>
      <c r="R4" s="350"/>
      <c r="S4" s="350"/>
      <c r="T4" s="46" t="s">
        <v>1</v>
      </c>
      <c r="U4" s="46"/>
    </row>
    <row r="5" spans="1:22" ht="18.75" customHeight="1" x14ac:dyDescent="0.2">
      <c r="A5" s="382" t="s">
        <v>2</v>
      </c>
      <c r="B5" s="366" t="s">
        <v>3</v>
      </c>
      <c r="C5" s="362" t="s">
        <v>283</v>
      </c>
      <c r="D5" s="376" t="s">
        <v>284</v>
      </c>
      <c r="E5" s="378" t="s">
        <v>282</v>
      </c>
      <c r="F5" s="360" t="s">
        <v>285</v>
      </c>
      <c r="G5" s="358" t="s">
        <v>33</v>
      </c>
      <c r="H5" s="351" t="s">
        <v>32</v>
      </c>
      <c r="I5" s="352"/>
      <c r="J5" s="352"/>
      <c r="K5" s="353"/>
      <c r="L5" s="354" t="s">
        <v>31</v>
      </c>
      <c r="M5" s="354"/>
      <c r="N5" s="354"/>
      <c r="O5" s="355" t="s">
        <v>248</v>
      </c>
      <c r="P5" s="356"/>
      <c r="Q5" s="357"/>
      <c r="R5" s="364" t="s">
        <v>4</v>
      </c>
      <c r="S5" s="345" t="s">
        <v>35</v>
      </c>
      <c r="T5" s="368" t="s">
        <v>74</v>
      </c>
      <c r="U5" s="370" t="s">
        <v>80</v>
      </c>
      <c r="V5" s="344" t="s">
        <v>199</v>
      </c>
    </row>
    <row r="6" spans="1:22" s="14" customFormat="1" ht="87" customHeight="1" x14ac:dyDescent="0.25">
      <c r="A6" s="383"/>
      <c r="B6" s="367"/>
      <c r="C6" s="363"/>
      <c r="D6" s="377"/>
      <c r="E6" s="379"/>
      <c r="F6" s="361"/>
      <c r="G6" s="359"/>
      <c r="H6" s="121" t="s">
        <v>281</v>
      </c>
      <c r="I6" s="324" t="s">
        <v>302</v>
      </c>
      <c r="J6" s="139" t="s">
        <v>178</v>
      </c>
      <c r="K6" s="39" t="s">
        <v>247</v>
      </c>
      <c r="L6" s="134" t="s">
        <v>280</v>
      </c>
      <c r="M6" s="339" t="s">
        <v>299</v>
      </c>
      <c r="N6" s="340" t="s">
        <v>94</v>
      </c>
      <c r="O6" s="343" t="s">
        <v>301</v>
      </c>
      <c r="P6" s="342" t="s">
        <v>300</v>
      </c>
      <c r="Q6" s="341" t="s">
        <v>100</v>
      </c>
      <c r="R6" s="365"/>
      <c r="S6" s="346"/>
      <c r="T6" s="369"/>
      <c r="U6" s="371"/>
      <c r="V6" s="344"/>
    </row>
    <row r="7" spans="1:22" ht="18.75" x14ac:dyDescent="0.2">
      <c r="A7" s="38">
        <v>1</v>
      </c>
      <c r="B7" s="47">
        <v>2</v>
      </c>
      <c r="C7" s="109">
        <v>3</v>
      </c>
      <c r="D7" s="234">
        <v>4</v>
      </c>
      <c r="E7" s="48" t="s">
        <v>36</v>
      </c>
      <c r="F7" s="162">
        <v>6</v>
      </c>
      <c r="G7" s="49" t="s">
        <v>37</v>
      </c>
      <c r="H7" s="122">
        <v>8</v>
      </c>
      <c r="I7" s="118">
        <v>9</v>
      </c>
      <c r="J7" s="140">
        <v>10</v>
      </c>
      <c r="K7" s="49"/>
      <c r="L7" s="135">
        <v>11</v>
      </c>
      <c r="M7" s="140">
        <v>12</v>
      </c>
      <c r="N7" s="50" t="s">
        <v>95</v>
      </c>
      <c r="O7" s="234">
        <v>13</v>
      </c>
      <c r="P7" s="162">
        <v>14</v>
      </c>
      <c r="Q7" s="48"/>
      <c r="R7" s="184">
        <v>15</v>
      </c>
      <c r="S7" s="261" t="s">
        <v>85</v>
      </c>
      <c r="T7" s="185">
        <v>17</v>
      </c>
      <c r="U7" s="51">
        <v>18</v>
      </c>
      <c r="V7" s="319">
        <v>19</v>
      </c>
    </row>
    <row r="8" spans="1:22" ht="18.75" x14ac:dyDescent="0.2">
      <c r="A8" s="267" t="s">
        <v>52</v>
      </c>
      <c r="B8" s="305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7"/>
    </row>
    <row r="9" spans="1:22" ht="18.75" x14ac:dyDescent="0.2">
      <c r="A9" s="189" t="s">
        <v>5</v>
      </c>
      <c r="B9" s="190"/>
      <c r="C9" s="191">
        <f t="shared" ref="C9" si="0">SUM(C10:C11)</f>
        <v>579399.01</v>
      </c>
      <c r="D9" s="191">
        <v>579399.01</v>
      </c>
      <c r="E9" s="191">
        <f t="shared" ref="E9:V9" si="1">SUM(E10:E11)</f>
        <v>0</v>
      </c>
      <c r="F9" s="191">
        <f t="shared" si="1"/>
        <v>0</v>
      </c>
      <c r="G9" s="191">
        <f t="shared" si="1"/>
        <v>0</v>
      </c>
      <c r="H9" s="191">
        <f t="shared" si="1"/>
        <v>477441.46</v>
      </c>
      <c r="I9" s="191">
        <f t="shared" si="1"/>
        <v>395415.46</v>
      </c>
      <c r="J9" s="191">
        <f t="shared" si="1"/>
        <v>0</v>
      </c>
      <c r="K9" s="191">
        <f t="shared" si="1"/>
        <v>395415.46</v>
      </c>
      <c r="L9" s="191">
        <f t="shared" si="1"/>
        <v>0</v>
      </c>
      <c r="M9" s="191">
        <f t="shared" si="1"/>
        <v>0</v>
      </c>
      <c r="N9" s="191">
        <f t="shared" si="1"/>
        <v>0</v>
      </c>
      <c r="O9" s="191">
        <f t="shared" si="1"/>
        <v>43554.18</v>
      </c>
      <c r="P9" s="191">
        <f t="shared" si="1"/>
        <v>0</v>
      </c>
      <c r="Q9" s="191">
        <f t="shared" si="1"/>
        <v>43554.18</v>
      </c>
      <c r="R9" s="191">
        <f t="shared" si="1"/>
        <v>0</v>
      </c>
      <c r="S9" s="191">
        <f t="shared" si="1"/>
        <v>351861.28</v>
      </c>
      <c r="T9" s="191">
        <f t="shared" si="1"/>
        <v>395415.46</v>
      </c>
      <c r="U9" s="191">
        <f t="shared" si="1"/>
        <v>0</v>
      </c>
      <c r="V9" s="191">
        <f t="shared" si="1"/>
        <v>0</v>
      </c>
    </row>
    <row r="10" spans="1:22" ht="18.75" x14ac:dyDescent="0.25">
      <c r="A10" s="11" t="s">
        <v>6</v>
      </c>
      <c r="B10" s="53">
        <v>211</v>
      </c>
      <c r="C10" s="110">
        <f>398578.32+36949.15+9479.41</f>
        <v>445006.88</v>
      </c>
      <c r="D10" s="237">
        <v>445006.87999999995</v>
      </c>
      <c r="E10" s="54">
        <f>C10-D10</f>
        <v>0</v>
      </c>
      <c r="F10" s="142"/>
      <c r="G10" s="20">
        <f>E10-F10</f>
        <v>0</v>
      </c>
      <c r="H10" s="124">
        <v>366696</v>
      </c>
      <c r="I10" s="110">
        <f>366696-63000</f>
        <v>303696</v>
      </c>
      <c r="J10" s="141"/>
      <c r="K10" s="20">
        <f>I10-J10</f>
        <v>303696</v>
      </c>
      <c r="L10" s="167"/>
      <c r="M10" s="153"/>
      <c r="N10" s="33">
        <f>L10-M10</f>
        <v>0</v>
      </c>
      <c r="O10" s="236">
        <f>13183+1759+18509.75</f>
        <v>33451.75</v>
      </c>
      <c r="P10" s="152"/>
      <c r="Q10" s="19">
        <f t="shared" ref="Q10:Q79" si="2">O10-P10</f>
        <v>33451.75</v>
      </c>
      <c r="R10" s="183"/>
      <c r="S10" s="113">
        <f>I10-O10-R10</f>
        <v>270244.25</v>
      </c>
      <c r="T10" s="186">
        <f>I10-L10</f>
        <v>303696</v>
      </c>
      <c r="U10" s="41"/>
      <c r="V10" s="309"/>
    </row>
    <row r="11" spans="1:22" ht="18.75" x14ac:dyDescent="0.2">
      <c r="A11" s="11" t="s">
        <v>7</v>
      </c>
      <c r="B11" s="55">
        <v>213</v>
      </c>
      <c r="C11" s="110">
        <f>88826.41-800+14991.45+14892+12049.07+4433.2</f>
        <v>134392.13</v>
      </c>
      <c r="D11" s="237">
        <v>134392.13</v>
      </c>
      <c r="E11" s="54">
        <f>C11-D11</f>
        <v>0</v>
      </c>
      <c r="F11" s="142"/>
      <c r="G11" s="20">
        <f>E11-F11</f>
        <v>0</v>
      </c>
      <c r="H11" s="124">
        <v>110745.46</v>
      </c>
      <c r="I11" s="110">
        <f>110745.46-19026</f>
        <v>91719.46</v>
      </c>
      <c r="J11" s="141"/>
      <c r="K11" s="20">
        <f t="shared" ref="K11:K75" si="3">I11-J11</f>
        <v>91719.46</v>
      </c>
      <c r="L11" s="167"/>
      <c r="M11" s="153"/>
      <c r="N11" s="33">
        <f>L11-M11</f>
        <v>0</v>
      </c>
      <c r="O11" s="236">
        <f>10102.43</f>
        <v>10102.43</v>
      </c>
      <c r="P11" s="152"/>
      <c r="Q11" s="19">
        <f t="shared" si="2"/>
        <v>10102.43</v>
      </c>
      <c r="R11" s="183"/>
      <c r="S11" s="113">
        <f>I11-O11-R11</f>
        <v>81617.03</v>
      </c>
      <c r="T11" s="186">
        <f>I11-L11</f>
        <v>91719.46</v>
      </c>
      <c r="U11" s="41"/>
      <c r="V11" s="309"/>
    </row>
    <row r="12" spans="1:22" ht="18.75" x14ac:dyDescent="0.25">
      <c r="A12" s="193" t="s">
        <v>8</v>
      </c>
      <c r="B12" s="194">
        <v>212</v>
      </c>
      <c r="C12" s="191">
        <f t="shared" ref="C12" si="4">SUM(C13:C15)</f>
        <v>0</v>
      </c>
      <c r="D12" s="191">
        <v>0</v>
      </c>
      <c r="E12" s="191">
        <f t="shared" ref="E12:V12" si="5">SUM(E13:E15)</f>
        <v>0</v>
      </c>
      <c r="F12" s="191">
        <f t="shared" si="5"/>
        <v>0</v>
      </c>
      <c r="G12" s="191">
        <f t="shared" si="5"/>
        <v>0</v>
      </c>
      <c r="H12" s="191">
        <f t="shared" si="5"/>
        <v>100</v>
      </c>
      <c r="I12" s="191">
        <f t="shared" si="5"/>
        <v>100</v>
      </c>
      <c r="J12" s="191">
        <f t="shared" si="5"/>
        <v>0</v>
      </c>
      <c r="K12" s="191">
        <f t="shared" si="5"/>
        <v>100</v>
      </c>
      <c r="L12" s="191">
        <f t="shared" si="5"/>
        <v>0</v>
      </c>
      <c r="M12" s="191">
        <f t="shared" si="5"/>
        <v>0</v>
      </c>
      <c r="N12" s="191">
        <f t="shared" si="5"/>
        <v>0</v>
      </c>
      <c r="O12" s="191">
        <f t="shared" si="5"/>
        <v>0</v>
      </c>
      <c r="P12" s="191">
        <f t="shared" si="5"/>
        <v>0</v>
      </c>
      <c r="Q12" s="191">
        <f t="shared" si="5"/>
        <v>0</v>
      </c>
      <c r="R12" s="191">
        <f t="shared" si="5"/>
        <v>0</v>
      </c>
      <c r="S12" s="191">
        <f t="shared" si="5"/>
        <v>100</v>
      </c>
      <c r="T12" s="191">
        <f t="shared" si="5"/>
        <v>100</v>
      </c>
      <c r="U12" s="286">
        <f t="shared" si="5"/>
        <v>0</v>
      </c>
      <c r="V12" s="286">
        <f t="shared" si="5"/>
        <v>0</v>
      </c>
    </row>
    <row r="13" spans="1:22" ht="18.75" x14ac:dyDescent="0.25">
      <c r="A13" s="88" t="s">
        <v>9</v>
      </c>
      <c r="B13" s="56"/>
      <c r="C13" s="110">
        <f>600-600</f>
        <v>0</v>
      </c>
      <c r="D13" s="236"/>
      <c r="E13" s="57">
        <f>C13-D13</f>
        <v>0</v>
      </c>
      <c r="F13" s="141"/>
      <c r="G13" s="20">
        <f>E13-F13</f>
        <v>0</v>
      </c>
      <c r="H13" s="124"/>
      <c r="I13" s="110"/>
      <c r="J13" s="141"/>
      <c r="K13" s="20">
        <f t="shared" si="3"/>
        <v>0</v>
      </c>
      <c r="L13" s="167"/>
      <c r="M13" s="153"/>
      <c r="N13" s="33">
        <f>L13-M13</f>
        <v>0</v>
      </c>
      <c r="O13" s="236"/>
      <c r="P13" s="153"/>
      <c r="Q13" s="19">
        <f t="shared" si="2"/>
        <v>0</v>
      </c>
      <c r="R13" s="180"/>
      <c r="S13" s="113">
        <f>I13-O13-R13</f>
        <v>0</v>
      </c>
      <c r="T13" s="186">
        <f>I13-L13</f>
        <v>0</v>
      </c>
      <c r="U13" s="287"/>
      <c r="V13" s="309"/>
    </row>
    <row r="14" spans="1:22" ht="18.75" x14ac:dyDescent="0.25">
      <c r="A14" s="88" t="s">
        <v>10</v>
      </c>
      <c r="B14" s="56"/>
      <c r="C14" s="110"/>
      <c r="D14" s="236"/>
      <c r="E14" s="57">
        <f>C14-D14</f>
        <v>0</v>
      </c>
      <c r="F14" s="141"/>
      <c r="G14" s="20">
        <f t="shared" ref="G14:G154" si="6">E14-F14</f>
        <v>0</v>
      </c>
      <c r="H14" s="124"/>
      <c r="I14" s="110"/>
      <c r="J14" s="141"/>
      <c r="K14" s="20">
        <f t="shared" si="3"/>
        <v>0</v>
      </c>
      <c r="L14" s="167"/>
      <c r="M14" s="153"/>
      <c r="N14" s="33">
        <f>L14-M14</f>
        <v>0</v>
      </c>
      <c r="O14" s="236"/>
      <c r="P14" s="153"/>
      <c r="Q14" s="19">
        <f t="shared" si="2"/>
        <v>0</v>
      </c>
      <c r="R14" s="180"/>
      <c r="S14" s="113">
        <f t="shared" ref="S14:S112" si="7">I14-O14-R14</f>
        <v>0</v>
      </c>
      <c r="T14" s="186">
        <f>I14-L14</f>
        <v>0</v>
      </c>
      <c r="U14" s="287"/>
      <c r="V14" s="309"/>
    </row>
    <row r="15" spans="1:22" ht="18.75" x14ac:dyDescent="0.25">
      <c r="A15" s="88" t="s">
        <v>73</v>
      </c>
      <c r="B15" s="56"/>
      <c r="C15" s="110">
        <f>100-100</f>
        <v>0</v>
      </c>
      <c r="D15" s="236"/>
      <c r="E15" s="57">
        <f>C15-D15</f>
        <v>0</v>
      </c>
      <c r="F15" s="141"/>
      <c r="G15" s="20">
        <f t="shared" si="6"/>
        <v>0</v>
      </c>
      <c r="H15" s="124">
        <v>100</v>
      </c>
      <c r="I15" s="110">
        <v>100</v>
      </c>
      <c r="J15" s="141"/>
      <c r="K15" s="20">
        <f t="shared" si="3"/>
        <v>100</v>
      </c>
      <c r="L15" s="167"/>
      <c r="M15" s="153"/>
      <c r="N15" s="33">
        <f>L15-M15</f>
        <v>0</v>
      </c>
      <c r="O15" s="236"/>
      <c r="P15" s="153"/>
      <c r="Q15" s="19">
        <f t="shared" si="2"/>
        <v>0</v>
      </c>
      <c r="R15" s="180"/>
      <c r="S15" s="113">
        <f t="shared" si="7"/>
        <v>100</v>
      </c>
      <c r="T15" s="186">
        <f>I15-L15</f>
        <v>100</v>
      </c>
      <c r="U15" s="287"/>
      <c r="V15" s="310"/>
    </row>
    <row r="16" spans="1:22" ht="18.75" x14ac:dyDescent="0.25">
      <c r="A16" s="196" t="s">
        <v>11</v>
      </c>
      <c r="B16" s="197">
        <v>221</v>
      </c>
      <c r="C16" s="198">
        <f t="shared" ref="C16" si="8">SUM(C17:C20)</f>
        <v>1233.5999999999999</v>
      </c>
      <c r="D16" s="198">
        <v>1133.5999999999999</v>
      </c>
      <c r="E16" s="198">
        <f t="shared" ref="E16:V16" si="9">SUM(E17:E20)</f>
        <v>100.00000000000006</v>
      </c>
      <c r="F16" s="198">
        <f t="shared" si="9"/>
        <v>0</v>
      </c>
      <c r="G16" s="198">
        <f t="shared" si="9"/>
        <v>100.00000000000006</v>
      </c>
      <c r="H16" s="198">
        <f t="shared" si="9"/>
        <v>1525</v>
      </c>
      <c r="I16" s="198">
        <f t="shared" si="9"/>
        <v>1525</v>
      </c>
      <c r="J16" s="198">
        <f t="shared" si="9"/>
        <v>0</v>
      </c>
      <c r="K16" s="198">
        <f t="shared" si="9"/>
        <v>1525</v>
      </c>
      <c r="L16" s="198">
        <f t="shared" si="9"/>
        <v>1525</v>
      </c>
      <c r="M16" s="198">
        <f t="shared" si="9"/>
        <v>0</v>
      </c>
      <c r="N16" s="198">
        <f t="shared" si="9"/>
        <v>1525</v>
      </c>
      <c r="O16" s="198">
        <f t="shared" si="9"/>
        <v>118.4</v>
      </c>
      <c r="P16" s="198">
        <f t="shared" si="9"/>
        <v>0</v>
      </c>
      <c r="Q16" s="198">
        <f t="shared" si="9"/>
        <v>118.4</v>
      </c>
      <c r="R16" s="198">
        <f t="shared" si="9"/>
        <v>0</v>
      </c>
      <c r="S16" s="198">
        <f t="shared" si="9"/>
        <v>1406.6</v>
      </c>
      <c r="T16" s="198">
        <f t="shared" si="9"/>
        <v>0</v>
      </c>
      <c r="U16" s="272">
        <f t="shared" si="9"/>
        <v>0</v>
      </c>
      <c r="V16" s="272">
        <f t="shared" si="9"/>
        <v>0</v>
      </c>
    </row>
    <row r="17" spans="1:22" ht="18.75" x14ac:dyDescent="0.25">
      <c r="A17" s="88" t="s">
        <v>12</v>
      </c>
      <c r="B17" s="56"/>
      <c r="C17" s="110"/>
      <c r="D17" s="236"/>
      <c r="E17" s="57">
        <f>C17-D17</f>
        <v>0</v>
      </c>
      <c r="F17" s="141"/>
      <c r="G17" s="20">
        <f t="shared" si="6"/>
        <v>0</v>
      </c>
      <c r="H17" s="124"/>
      <c r="I17" s="110"/>
      <c r="J17" s="141"/>
      <c r="K17" s="20">
        <f t="shared" si="3"/>
        <v>0</v>
      </c>
      <c r="L17" s="167"/>
      <c r="M17" s="153"/>
      <c r="N17" s="33">
        <f>L17-M17</f>
        <v>0</v>
      </c>
      <c r="O17" s="236"/>
      <c r="P17" s="153"/>
      <c r="Q17" s="19">
        <f t="shared" si="2"/>
        <v>0</v>
      </c>
      <c r="R17" s="180"/>
      <c r="S17" s="113">
        <f>I17-O17-R17</f>
        <v>0</v>
      </c>
      <c r="T17" s="186">
        <f>I17-L17</f>
        <v>0</v>
      </c>
      <c r="U17" s="287"/>
      <c r="V17" s="309"/>
    </row>
    <row r="18" spans="1:22" ht="18.75" x14ac:dyDescent="0.25">
      <c r="A18" s="88" t="s">
        <v>13</v>
      </c>
      <c r="B18" s="56"/>
      <c r="C18" s="110"/>
      <c r="D18" s="236"/>
      <c r="E18" s="57">
        <f>C18-D18</f>
        <v>0</v>
      </c>
      <c r="F18" s="141"/>
      <c r="G18" s="20">
        <f t="shared" si="6"/>
        <v>0</v>
      </c>
      <c r="H18" s="124"/>
      <c r="I18" s="110"/>
      <c r="J18" s="141"/>
      <c r="K18" s="20">
        <f t="shared" si="3"/>
        <v>0</v>
      </c>
      <c r="L18" s="167"/>
      <c r="M18" s="153"/>
      <c r="N18" s="33">
        <f>L18-M18</f>
        <v>0</v>
      </c>
      <c r="O18" s="236"/>
      <c r="P18" s="153"/>
      <c r="Q18" s="19">
        <f t="shared" si="2"/>
        <v>0</v>
      </c>
      <c r="R18" s="180"/>
      <c r="S18" s="113">
        <f t="shared" si="7"/>
        <v>0</v>
      </c>
      <c r="T18" s="186">
        <f>I18-L18</f>
        <v>0</v>
      </c>
      <c r="U18" s="287"/>
      <c r="V18" s="309"/>
    </row>
    <row r="19" spans="1:22" ht="18.75" x14ac:dyDescent="0.25">
      <c r="A19" s="11" t="s">
        <v>191</v>
      </c>
      <c r="B19" s="56"/>
      <c r="C19" s="110">
        <f>745-1</f>
        <v>744</v>
      </c>
      <c r="D19" s="236">
        <v>744</v>
      </c>
      <c r="E19" s="57">
        <f>C19-D19</f>
        <v>0</v>
      </c>
      <c r="F19" s="141"/>
      <c r="G19" s="20">
        <f t="shared" si="6"/>
        <v>0</v>
      </c>
      <c r="H19" s="124">
        <v>745</v>
      </c>
      <c r="I19" s="110">
        <v>745</v>
      </c>
      <c r="J19" s="141"/>
      <c r="K19" s="20">
        <f t="shared" si="3"/>
        <v>745</v>
      </c>
      <c r="L19" s="167">
        <v>745</v>
      </c>
      <c r="M19" s="153"/>
      <c r="N19" s="33">
        <f>L19-M19</f>
        <v>745</v>
      </c>
      <c r="O19" s="236">
        <v>62</v>
      </c>
      <c r="P19" s="153"/>
      <c r="Q19" s="19">
        <f t="shared" si="2"/>
        <v>62</v>
      </c>
      <c r="R19" s="180"/>
      <c r="S19" s="113">
        <f t="shared" si="7"/>
        <v>683</v>
      </c>
      <c r="T19" s="186">
        <f>I19-L19</f>
        <v>0</v>
      </c>
      <c r="U19" s="287"/>
      <c r="V19" s="309"/>
    </row>
    <row r="20" spans="1:22" ht="18.75" x14ac:dyDescent="0.25">
      <c r="A20" s="11" t="s">
        <v>159</v>
      </c>
      <c r="B20" s="56"/>
      <c r="C20" s="110">
        <f>1525-745-325+34.6</f>
        <v>489.6</v>
      </c>
      <c r="D20" s="236">
        <v>389.59999999999997</v>
      </c>
      <c r="E20" s="57">
        <f>C20-D20</f>
        <v>100.00000000000006</v>
      </c>
      <c r="F20" s="141"/>
      <c r="G20" s="20">
        <f t="shared" si="6"/>
        <v>100.00000000000006</v>
      </c>
      <c r="H20" s="124">
        <v>780</v>
      </c>
      <c r="I20" s="110">
        <v>780</v>
      </c>
      <c r="J20" s="141"/>
      <c r="K20" s="20">
        <f t="shared" si="3"/>
        <v>780</v>
      </c>
      <c r="L20" s="167">
        <v>780</v>
      </c>
      <c r="M20" s="153"/>
      <c r="N20" s="33">
        <f>L20-M20</f>
        <v>780</v>
      </c>
      <c r="O20" s="236">
        <v>56.4</v>
      </c>
      <c r="P20" s="153"/>
      <c r="Q20" s="19">
        <f t="shared" si="2"/>
        <v>56.4</v>
      </c>
      <c r="R20" s="180"/>
      <c r="S20" s="113">
        <f t="shared" si="7"/>
        <v>723.6</v>
      </c>
      <c r="T20" s="186">
        <f>I20-L20</f>
        <v>0</v>
      </c>
      <c r="U20" s="287"/>
      <c r="V20" s="309"/>
    </row>
    <row r="21" spans="1:22" ht="18.75" x14ac:dyDescent="0.25">
      <c r="A21" s="196" t="s">
        <v>15</v>
      </c>
      <c r="B21" s="197">
        <v>222</v>
      </c>
      <c r="C21" s="212"/>
      <c r="D21" s="200"/>
      <c r="E21" s="198">
        <f>C21-D21</f>
        <v>0</v>
      </c>
      <c r="F21" s="199"/>
      <c r="G21" s="204">
        <f t="shared" si="6"/>
        <v>0</v>
      </c>
      <c r="H21" s="213"/>
      <c r="I21" s="212"/>
      <c r="J21" s="212"/>
      <c r="K21" s="204">
        <f t="shared" si="3"/>
        <v>0</v>
      </c>
      <c r="L21" s="200"/>
      <c r="M21" s="200"/>
      <c r="N21" s="200">
        <f>L21-M21</f>
        <v>0</v>
      </c>
      <c r="O21" s="200">
        <v>0</v>
      </c>
      <c r="P21" s="200"/>
      <c r="Q21" s="192">
        <f t="shared" si="2"/>
        <v>0</v>
      </c>
      <c r="R21" s="200"/>
      <c r="S21" s="202">
        <f t="shared" si="7"/>
        <v>0</v>
      </c>
      <c r="T21" s="195">
        <f>I21-L21</f>
        <v>0</v>
      </c>
      <c r="U21" s="288"/>
      <c r="V21" s="288"/>
    </row>
    <row r="22" spans="1:22" ht="18.75" x14ac:dyDescent="0.25">
      <c r="A22" s="196" t="s">
        <v>16</v>
      </c>
      <c r="B22" s="197">
        <v>223</v>
      </c>
      <c r="C22" s="198">
        <f t="shared" ref="C22" si="10">SUM(C23:C29)</f>
        <v>562583.02999999991</v>
      </c>
      <c r="D22" s="198">
        <v>562583.02999999991</v>
      </c>
      <c r="E22" s="198">
        <f t="shared" ref="E22:R22" si="11">SUM(E23:E29)</f>
        <v>0</v>
      </c>
      <c r="F22" s="198">
        <f t="shared" si="11"/>
        <v>5876.02</v>
      </c>
      <c r="G22" s="272">
        <f t="shared" si="11"/>
        <v>-5876.02</v>
      </c>
      <c r="H22" s="198">
        <f t="shared" si="11"/>
        <v>431841.77999999997</v>
      </c>
      <c r="I22" s="198">
        <f t="shared" si="11"/>
        <v>431841.77999999997</v>
      </c>
      <c r="J22" s="198">
        <f t="shared" si="11"/>
        <v>0</v>
      </c>
      <c r="K22" s="198">
        <f t="shared" si="11"/>
        <v>431841.77999999997</v>
      </c>
      <c r="L22" s="198">
        <f t="shared" si="11"/>
        <v>410130.39999999997</v>
      </c>
      <c r="M22" s="198">
        <f t="shared" si="11"/>
        <v>0</v>
      </c>
      <c r="N22" s="198">
        <f t="shared" si="11"/>
        <v>410130.39999999997</v>
      </c>
      <c r="O22" s="198">
        <f>SUM(O23:O29)</f>
        <v>81491.38</v>
      </c>
      <c r="P22" s="198">
        <f t="shared" si="11"/>
        <v>0</v>
      </c>
      <c r="Q22" s="198">
        <f t="shared" si="11"/>
        <v>29985.87</v>
      </c>
      <c r="R22" s="198">
        <f t="shared" si="11"/>
        <v>0</v>
      </c>
      <c r="S22" s="198">
        <f>SUM(S23:S29)</f>
        <v>350350.39999999997</v>
      </c>
      <c r="T22" s="198">
        <f>SUM(T23:T29)</f>
        <v>21711.38</v>
      </c>
      <c r="U22" s="272">
        <f>SUM(U23:U29)</f>
        <v>0</v>
      </c>
      <c r="V22" s="272">
        <f>SUM(V23:V29)</f>
        <v>0</v>
      </c>
    </row>
    <row r="23" spans="1:22" ht="18.75" x14ac:dyDescent="0.25">
      <c r="A23" s="11" t="s">
        <v>132</v>
      </c>
      <c r="B23" s="58"/>
      <c r="C23" s="110">
        <f>170049.78-38072.25+56089+41548.77-3480.06</f>
        <v>226135.24</v>
      </c>
      <c r="D23" s="237">
        <v>226135.23999999996</v>
      </c>
      <c r="E23" s="54">
        <f t="shared" ref="E23:E29" si="12">C23-D23</f>
        <v>0</v>
      </c>
      <c r="F23" s="142"/>
      <c r="G23" s="20">
        <f t="shared" si="6"/>
        <v>0</v>
      </c>
      <c r="H23" s="124">
        <v>172099.08</v>
      </c>
      <c r="I23" s="110">
        <v>172099.08</v>
      </c>
      <c r="J23" s="142"/>
      <c r="K23" s="20">
        <f t="shared" si="3"/>
        <v>172099.08</v>
      </c>
      <c r="L23" s="167">
        <v>172085.08</v>
      </c>
      <c r="M23" s="142"/>
      <c r="N23" s="33">
        <f t="shared" ref="N23:N103" si="13">L23-M23</f>
        <v>172085.08</v>
      </c>
      <c r="O23" s="236">
        <f>51505.51</f>
        <v>51505.51</v>
      </c>
      <c r="P23" s="154"/>
      <c r="Q23" s="19"/>
      <c r="R23" s="181"/>
      <c r="S23" s="113">
        <f t="shared" si="7"/>
        <v>120593.56999999998</v>
      </c>
      <c r="T23" s="186">
        <f>I23-L23</f>
        <v>14</v>
      </c>
      <c r="U23" s="41"/>
      <c r="V23" s="309"/>
    </row>
    <row r="24" spans="1:22" ht="18.75" x14ac:dyDescent="0.25">
      <c r="A24" s="11" t="s">
        <v>133</v>
      </c>
      <c r="B24" s="58"/>
      <c r="C24" s="110"/>
      <c r="D24" s="237"/>
      <c r="E24" s="54">
        <f t="shared" si="12"/>
        <v>0</v>
      </c>
      <c r="F24" s="142"/>
      <c r="G24" s="20">
        <f t="shared" si="6"/>
        <v>0</v>
      </c>
      <c r="H24" s="124"/>
      <c r="I24" s="110"/>
      <c r="J24" s="142"/>
      <c r="K24" s="20">
        <f t="shared" si="3"/>
        <v>0</v>
      </c>
      <c r="L24" s="167"/>
      <c r="M24" s="154"/>
      <c r="N24" s="33">
        <f t="shared" si="13"/>
        <v>0</v>
      </c>
      <c r="O24" s="236"/>
      <c r="P24" s="154"/>
      <c r="Q24" s="19">
        <f t="shared" si="2"/>
        <v>0</v>
      </c>
      <c r="R24" s="182"/>
      <c r="S24" s="113">
        <f t="shared" si="7"/>
        <v>0</v>
      </c>
      <c r="T24" s="186">
        <f t="shared" ref="T24:T103" si="14">I24-L24</f>
        <v>0</v>
      </c>
      <c r="U24" s="41"/>
      <c r="V24" s="309"/>
    </row>
    <row r="25" spans="1:22" ht="18.75" x14ac:dyDescent="0.25">
      <c r="A25" s="11" t="s">
        <v>134</v>
      </c>
      <c r="B25" s="53"/>
      <c r="C25" s="110">
        <f>122880+5876.02+21737.51+33329.08+56476.65+5554.7+40000-9251.32</f>
        <v>276602.63999999996</v>
      </c>
      <c r="D25" s="237">
        <v>276602.64</v>
      </c>
      <c r="E25" s="54">
        <f t="shared" si="12"/>
        <v>0</v>
      </c>
      <c r="F25" s="142">
        <v>5876.02</v>
      </c>
      <c r="G25" s="271">
        <f>E25-F25</f>
        <v>-5876.02</v>
      </c>
      <c r="H25" s="124">
        <v>190080</v>
      </c>
      <c r="I25" s="110">
        <v>190080</v>
      </c>
      <c r="J25" s="142"/>
      <c r="K25" s="20">
        <f t="shared" si="3"/>
        <v>190080</v>
      </c>
      <c r="L25" s="167">
        <v>190080</v>
      </c>
      <c r="M25" s="154"/>
      <c r="N25" s="33">
        <f t="shared" si="13"/>
        <v>190080</v>
      </c>
      <c r="O25" s="236">
        <f>20686.73+9299.14</f>
        <v>29985.87</v>
      </c>
      <c r="P25" s="154"/>
      <c r="Q25" s="19">
        <f t="shared" si="2"/>
        <v>29985.87</v>
      </c>
      <c r="R25" s="182"/>
      <c r="S25" s="113">
        <f t="shared" si="7"/>
        <v>160094.13</v>
      </c>
      <c r="T25" s="186">
        <f t="shared" si="14"/>
        <v>0</v>
      </c>
      <c r="U25" s="41"/>
      <c r="V25" s="309"/>
    </row>
    <row r="26" spans="1:22" ht="18.75" x14ac:dyDescent="0.25">
      <c r="A26" s="11" t="s">
        <v>135</v>
      </c>
      <c r="B26" s="53"/>
      <c r="C26" s="110">
        <f>20499.15+500+4600+10502+18257.92</f>
        <v>54359.07</v>
      </c>
      <c r="D26" s="237">
        <v>54359.07</v>
      </c>
      <c r="E26" s="54">
        <f t="shared" si="12"/>
        <v>0</v>
      </c>
      <c r="F26" s="142"/>
      <c r="G26" s="20">
        <f t="shared" si="6"/>
        <v>0</v>
      </c>
      <c r="H26" s="124">
        <v>47965.32</v>
      </c>
      <c r="I26" s="110">
        <v>47965.32</v>
      </c>
      <c r="J26" s="142"/>
      <c r="K26" s="20">
        <f t="shared" si="3"/>
        <v>47965.32</v>
      </c>
      <c r="L26" s="167">
        <v>47965.32</v>
      </c>
      <c r="M26" s="142"/>
      <c r="N26" s="33">
        <f t="shared" si="13"/>
        <v>47965.32</v>
      </c>
      <c r="O26" s="236"/>
      <c r="P26" s="154"/>
      <c r="Q26" s="19">
        <f t="shared" si="2"/>
        <v>0</v>
      </c>
      <c r="R26" s="182"/>
      <c r="S26" s="113">
        <f t="shared" si="7"/>
        <v>47965.32</v>
      </c>
      <c r="T26" s="186">
        <f t="shared" si="14"/>
        <v>0</v>
      </c>
      <c r="U26" s="41"/>
      <c r="V26" s="309"/>
    </row>
    <row r="27" spans="1:22" ht="18.75" x14ac:dyDescent="0.25">
      <c r="A27" s="11" t="s">
        <v>263</v>
      </c>
      <c r="B27" s="53"/>
      <c r="C27" s="110"/>
      <c r="D27" s="237"/>
      <c r="E27" s="54">
        <f t="shared" si="12"/>
        <v>0</v>
      </c>
      <c r="F27" s="142"/>
      <c r="G27" s="20">
        <f t="shared" si="6"/>
        <v>0</v>
      </c>
      <c r="H27" s="124"/>
      <c r="I27" s="110"/>
      <c r="J27" s="142"/>
      <c r="K27" s="20">
        <f t="shared" si="3"/>
        <v>0</v>
      </c>
      <c r="L27" s="167"/>
      <c r="M27" s="154"/>
      <c r="N27" s="33">
        <f t="shared" si="13"/>
        <v>0</v>
      </c>
      <c r="O27" s="237"/>
      <c r="P27" s="154"/>
      <c r="Q27" s="19">
        <f t="shared" si="2"/>
        <v>0</v>
      </c>
      <c r="R27" s="183"/>
      <c r="S27" s="113">
        <f t="shared" si="7"/>
        <v>0</v>
      </c>
      <c r="T27" s="186">
        <f t="shared" si="14"/>
        <v>0</v>
      </c>
      <c r="U27" s="41"/>
      <c r="V27" s="309"/>
    </row>
    <row r="28" spans="1:22" ht="18.75" x14ac:dyDescent="0.25">
      <c r="A28" s="11" t="s">
        <v>262</v>
      </c>
      <c r="B28" s="53"/>
      <c r="C28" s="110">
        <f>8500-2400-462.58-537.42-1700</f>
        <v>3400</v>
      </c>
      <c r="D28" s="237">
        <v>3400</v>
      </c>
      <c r="E28" s="54">
        <f t="shared" si="12"/>
        <v>0</v>
      </c>
      <c r="F28" s="142"/>
      <c r="G28" s="20">
        <f t="shared" si="6"/>
        <v>0</v>
      </c>
      <c r="H28" s="124">
        <v>16065</v>
      </c>
      <c r="I28" s="110">
        <v>16065</v>
      </c>
      <c r="J28" s="142"/>
      <c r="K28" s="20">
        <f t="shared" si="3"/>
        <v>16065</v>
      </c>
      <c r="L28" s="167"/>
      <c r="M28" s="142"/>
      <c r="N28" s="33">
        <f t="shared" si="13"/>
        <v>0</v>
      </c>
      <c r="O28" s="237"/>
      <c r="P28" s="154"/>
      <c r="Q28" s="19">
        <f t="shared" si="2"/>
        <v>0</v>
      </c>
      <c r="R28" s="181"/>
      <c r="S28" s="113">
        <f t="shared" si="7"/>
        <v>16065</v>
      </c>
      <c r="T28" s="186">
        <f t="shared" si="14"/>
        <v>16065</v>
      </c>
      <c r="U28" s="41"/>
      <c r="V28" s="309"/>
    </row>
    <row r="29" spans="1:22" ht="18.75" x14ac:dyDescent="0.25">
      <c r="A29" s="11" t="s">
        <v>83</v>
      </c>
      <c r="B29" s="53"/>
      <c r="C29" s="110">
        <f>3884.78-60.32-0.1-1738.28</f>
        <v>2086.08</v>
      </c>
      <c r="D29" s="237">
        <v>2086.08</v>
      </c>
      <c r="E29" s="54">
        <f t="shared" si="12"/>
        <v>0</v>
      </c>
      <c r="F29" s="142"/>
      <c r="G29" s="20">
        <f t="shared" si="6"/>
        <v>0</v>
      </c>
      <c r="H29" s="124">
        <v>5632.38</v>
      </c>
      <c r="I29" s="110">
        <v>5632.38</v>
      </c>
      <c r="J29" s="142"/>
      <c r="K29" s="20">
        <f t="shared" si="3"/>
        <v>5632.38</v>
      </c>
      <c r="L29" s="167"/>
      <c r="M29" s="142"/>
      <c r="N29" s="33">
        <f t="shared" si="13"/>
        <v>0</v>
      </c>
      <c r="O29" s="237"/>
      <c r="P29" s="154"/>
      <c r="Q29" s="19">
        <f t="shared" si="2"/>
        <v>0</v>
      </c>
      <c r="R29" s="183"/>
      <c r="S29" s="113">
        <f t="shared" si="7"/>
        <v>5632.38</v>
      </c>
      <c r="T29" s="186">
        <f t="shared" si="14"/>
        <v>5632.38</v>
      </c>
      <c r="U29" s="41"/>
      <c r="V29" s="309"/>
    </row>
    <row r="30" spans="1:22" s="7" customFormat="1" ht="18.75" x14ac:dyDescent="0.2">
      <c r="A30" s="193" t="s">
        <v>17</v>
      </c>
      <c r="B30" s="203">
        <v>225</v>
      </c>
      <c r="C30" s="191">
        <f>SUM(C31:C60)</f>
        <v>46109.16</v>
      </c>
      <c r="D30" s="191">
        <v>46109.16</v>
      </c>
      <c r="E30" s="191">
        <f t="shared" ref="E30:H30" si="15">SUM(E31:E59)</f>
        <v>0</v>
      </c>
      <c r="F30" s="191">
        <f t="shared" si="15"/>
        <v>0</v>
      </c>
      <c r="G30" s="191">
        <f t="shared" si="15"/>
        <v>0</v>
      </c>
      <c r="H30" s="191">
        <f t="shared" si="15"/>
        <v>49331</v>
      </c>
      <c r="I30" s="191">
        <f>SUM(I31:I60)</f>
        <v>54131</v>
      </c>
      <c r="J30" s="191">
        <f t="shared" ref="J30:U30" si="16">SUM(J31:J60)</f>
        <v>0</v>
      </c>
      <c r="K30" s="191">
        <f t="shared" si="16"/>
        <v>54131</v>
      </c>
      <c r="L30" s="191">
        <f t="shared" si="16"/>
        <v>29400</v>
      </c>
      <c r="M30" s="191">
        <f t="shared" si="16"/>
        <v>0</v>
      </c>
      <c r="N30" s="191">
        <f t="shared" si="16"/>
        <v>29400</v>
      </c>
      <c r="O30" s="191">
        <f t="shared" si="16"/>
        <v>3800</v>
      </c>
      <c r="P30" s="191">
        <f t="shared" si="16"/>
        <v>0</v>
      </c>
      <c r="Q30" s="191">
        <f t="shared" si="16"/>
        <v>3800</v>
      </c>
      <c r="R30" s="191">
        <f t="shared" si="16"/>
        <v>0</v>
      </c>
      <c r="S30" s="191">
        <f t="shared" si="16"/>
        <v>50331</v>
      </c>
      <c r="T30" s="191">
        <f t="shared" si="16"/>
        <v>24731</v>
      </c>
      <c r="U30" s="191">
        <f t="shared" si="16"/>
        <v>0</v>
      </c>
      <c r="V30" s="286">
        <f>SUM(V31:V59)</f>
        <v>0</v>
      </c>
    </row>
    <row r="31" spans="1:22" s="7" customFormat="1" ht="18.75" x14ac:dyDescent="0.2">
      <c r="A31" s="23" t="s">
        <v>125</v>
      </c>
      <c r="B31" s="59"/>
      <c r="C31" s="111"/>
      <c r="D31" s="237"/>
      <c r="E31" s="54">
        <f t="shared" ref="E31:E59" si="17">C31-D31</f>
        <v>0</v>
      </c>
      <c r="F31" s="142"/>
      <c r="G31" s="20">
        <f>E31-F31</f>
        <v>0</v>
      </c>
      <c r="H31" s="233"/>
      <c r="I31" s="111"/>
      <c r="J31" s="142"/>
      <c r="K31" s="20">
        <f t="shared" si="3"/>
        <v>0</v>
      </c>
      <c r="L31" s="168"/>
      <c r="M31" s="154"/>
      <c r="N31" s="33">
        <f t="shared" si="13"/>
        <v>0</v>
      </c>
      <c r="O31" s="237"/>
      <c r="P31" s="154"/>
      <c r="Q31" s="19">
        <f t="shared" si="2"/>
        <v>0</v>
      </c>
      <c r="R31" s="183"/>
      <c r="S31" s="113">
        <f t="shared" si="7"/>
        <v>0</v>
      </c>
      <c r="T31" s="186">
        <f t="shared" si="14"/>
        <v>0</v>
      </c>
      <c r="U31" s="41"/>
      <c r="V31" s="309"/>
    </row>
    <row r="32" spans="1:22" ht="18.75" x14ac:dyDescent="0.2">
      <c r="A32" s="86" t="s">
        <v>97</v>
      </c>
      <c r="B32" s="59"/>
      <c r="C32" s="111"/>
      <c r="D32" s="237"/>
      <c r="E32" s="54">
        <f t="shared" si="17"/>
        <v>0</v>
      </c>
      <c r="F32" s="142"/>
      <c r="G32" s="20">
        <f t="shared" si="6"/>
        <v>0</v>
      </c>
      <c r="H32" s="233"/>
      <c r="I32" s="111"/>
      <c r="J32" s="142"/>
      <c r="K32" s="20">
        <f t="shared" si="3"/>
        <v>0</v>
      </c>
      <c r="L32" s="168"/>
      <c r="M32" s="154"/>
      <c r="N32" s="33">
        <f t="shared" si="13"/>
        <v>0</v>
      </c>
      <c r="O32" s="237"/>
      <c r="P32" s="154"/>
      <c r="Q32" s="19">
        <f t="shared" si="2"/>
        <v>0</v>
      </c>
      <c r="R32" s="183"/>
      <c r="S32" s="113">
        <f t="shared" si="7"/>
        <v>0</v>
      </c>
      <c r="T32" s="186">
        <f t="shared" si="14"/>
        <v>0</v>
      </c>
      <c r="U32" s="41"/>
      <c r="V32" s="309"/>
    </row>
    <row r="33" spans="1:22" ht="18.75" x14ac:dyDescent="0.2">
      <c r="A33" s="8" t="s">
        <v>174</v>
      </c>
      <c r="B33" s="59"/>
      <c r="C33" s="111"/>
      <c r="D33" s="237"/>
      <c r="E33" s="54">
        <f t="shared" si="17"/>
        <v>0</v>
      </c>
      <c r="F33" s="142"/>
      <c r="G33" s="20">
        <f t="shared" si="6"/>
        <v>0</v>
      </c>
      <c r="H33" s="233">
        <v>10200</v>
      </c>
      <c r="I33" s="111">
        <v>10200</v>
      </c>
      <c r="J33" s="142"/>
      <c r="K33" s="20">
        <f t="shared" si="3"/>
        <v>10200</v>
      </c>
      <c r="L33" s="168">
        <v>9000</v>
      </c>
      <c r="M33" s="154"/>
      <c r="N33" s="33">
        <f t="shared" si="13"/>
        <v>9000</v>
      </c>
      <c r="O33" s="237">
        <f>750</f>
        <v>750</v>
      </c>
      <c r="P33" s="154"/>
      <c r="Q33" s="19">
        <f t="shared" si="2"/>
        <v>750</v>
      </c>
      <c r="R33" s="183"/>
      <c r="S33" s="113">
        <f t="shared" si="7"/>
        <v>9450</v>
      </c>
      <c r="T33" s="186">
        <f t="shared" si="14"/>
        <v>1200</v>
      </c>
      <c r="U33" s="41"/>
      <c r="V33" s="309"/>
    </row>
    <row r="34" spans="1:22" ht="37.5" x14ac:dyDescent="0.2">
      <c r="A34" s="9" t="s">
        <v>84</v>
      </c>
      <c r="B34" s="59"/>
      <c r="C34" s="111"/>
      <c r="D34" s="237"/>
      <c r="E34" s="54">
        <f t="shared" si="17"/>
        <v>0</v>
      </c>
      <c r="F34" s="142"/>
      <c r="G34" s="20">
        <f t="shared" si="6"/>
        <v>0</v>
      </c>
      <c r="H34" s="233"/>
      <c r="I34" s="111"/>
      <c r="J34" s="142"/>
      <c r="K34" s="20">
        <f t="shared" si="3"/>
        <v>0</v>
      </c>
      <c r="L34" s="168"/>
      <c r="M34" s="154"/>
      <c r="N34" s="33">
        <f t="shared" si="13"/>
        <v>0</v>
      </c>
      <c r="O34" s="237"/>
      <c r="P34" s="154"/>
      <c r="Q34" s="19">
        <f t="shared" si="2"/>
        <v>0</v>
      </c>
      <c r="R34" s="183"/>
      <c r="S34" s="113">
        <f t="shared" si="7"/>
        <v>0</v>
      </c>
      <c r="T34" s="186">
        <f t="shared" si="14"/>
        <v>0</v>
      </c>
      <c r="U34" s="41"/>
      <c r="V34" s="309"/>
    </row>
    <row r="35" spans="1:22" ht="37.5" x14ac:dyDescent="0.2">
      <c r="A35" s="8" t="s">
        <v>200</v>
      </c>
      <c r="B35" s="59"/>
      <c r="C35" s="111"/>
      <c r="D35" s="237"/>
      <c r="E35" s="54">
        <f t="shared" si="17"/>
        <v>0</v>
      </c>
      <c r="F35" s="142"/>
      <c r="G35" s="20">
        <f t="shared" si="6"/>
        <v>0</v>
      </c>
      <c r="H35" s="233"/>
      <c r="I35" s="111"/>
      <c r="J35" s="142"/>
      <c r="K35" s="20">
        <f t="shared" si="3"/>
        <v>0</v>
      </c>
      <c r="L35" s="168"/>
      <c r="M35" s="154"/>
      <c r="N35" s="33">
        <f t="shared" si="13"/>
        <v>0</v>
      </c>
      <c r="O35" s="237"/>
      <c r="P35" s="154"/>
      <c r="Q35" s="19">
        <f t="shared" si="2"/>
        <v>0</v>
      </c>
      <c r="R35" s="183"/>
      <c r="S35" s="113">
        <f t="shared" si="7"/>
        <v>0</v>
      </c>
      <c r="T35" s="186">
        <f t="shared" si="14"/>
        <v>0</v>
      </c>
      <c r="U35" s="41"/>
      <c r="V35" s="309"/>
    </row>
    <row r="36" spans="1:22" ht="37.5" x14ac:dyDescent="0.25">
      <c r="A36" s="8" t="s">
        <v>192</v>
      </c>
      <c r="B36" s="53"/>
      <c r="C36" s="111">
        <v>9000</v>
      </c>
      <c r="D36" s="237">
        <v>9000</v>
      </c>
      <c r="E36" s="54">
        <f t="shared" si="17"/>
        <v>0</v>
      </c>
      <c r="F36" s="142"/>
      <c r="G36" s="20">
        <f t="shared" si="6"/>
        <v>0</v>
      </c>
      <c r="H36" s="233"/>
      <c r="I36" s="111"/>
      <c r="J36" s="142"/>
      <c r="K36" s="20">
        <f t="shared" si="3"/>
        <v>0</v>
      </c>
      <c r="L36" s="168"/>
      <c r="M36" s="154"/>
      <c r="N36" s="33">
        <f t="shared" si="13"/>
        <v>0</v>
      </c>
      <c r="O36" s="237"/>
      <c r="P36" s="154"/>
      <c r="Q36" s="19">
        <f t="shared" si="2"/>
        <v>0</v>
      </c>
      <c r="R36" s="183"/>
      <c r="S36" s="113">
        <f t="shared" si="7"/>
        <v>0</v>
      </c>
      <c r="T36" s="186">
        <f t="shared" si="14"/>
        <v>0</v>
      </c>
      <c r="U36" s="41"/>
      <c r="V36" s="309"/>
    </row>
    <row r="37" spans="1:22" ht="18.75" x14ac:dyDescent="0.25">
      <c r="A37" s="8" t="s">
        <v>103</v>
      </c>
      <c r="B37" s="53"/>
      <c r="C37" s="111"/>
      <c r="D37" s="237"/>
      <c r="E37" s="54">
        <f t="shared" si="17"/>
        <v>0</v>
      </c>
      <c r="F37" s="142"/>
      <c r="G37" s="20">
        <f t="shared" si="6"/>
        <v>0</v>
      </c>
      <c r="H37" s="233"/>
      <c r="I37" s="111"/>
      <c r="J37" s="142"/>
      <c r="K37" s="20">
        <f t="shared" si="3"/>
        <v>0</v>
      </c>
      <c r="L37" s="168"/>
      <c r="M37" s="154"/>
      <c r="N37" s="33">
        <f t="shared" si="13"/>
        <v>0</v>
      </c>
      <c r="O37" s="237"/>
      <c r="P37" s="154"/>
      <c r="Q37" s="19">
        <f t="shared" si="2"/>
        <v>0</v>
      </c>
      <c r="R37" s="183"/>
      <c r="S37" s="113">
        <f t="shared" si="7"/>
        <v>0</v>
      </c>
      <c r="T37" s="186">
        <f t="shared" si="14"/>
        <v>0</v>
      </c>
      <c r="U37" s="41"/>
      <c r="V37" s="309"/>
    </row>
    <row r="38" spans="1:22" ht="18.75" x14ac:dyDescent="0.25">
      <c r="A38" s="8" t="s">
        <v>201</v>
      </c>
      <c r="B38" s="53"/>
      <c r="C38" s="111"/>
      <c r="D38" s="237"/>
      <c r="E38" s="54">
        <f t="shared" si="17"/>
        <v>0</v>
      </c>
      <c r="F38" s="142"/>
      <c r="G38" s="20">
        <f t="shared" si="6"/>
        <v>0</v>
      </c>
      <c r="H38" s="233"/>
      <c r="I38" s="111"/>
      <c r="J38" s="142"/>
      <c r="K38" s="20">
        <f t="shared" si="3"/>
        <v>0</v>
      </c>
      <c r="L38" s="168"/>
      <c r="M38" s="154"/>
      <c r="N38" s="33">
        <f t="shared" si="13"/>
        <v>0</v>
      </c>
      <c r="O38" s="237"/>
      <c r="P38" s="154"/>
      <c r="Q38" s="19">
        <f t="shared" si="2"/>
        <v>0</v>
      </c>
      <c r="R38" s="183"/>
      <c r="S38" s="113">
        <f t="shared" si="7"/>
        <v>0</v>
      </c>
      <c r="T38" s="186">
        <f t="shared" si="14"/>
        <v>0</v>
      </c>
      <c r="U38" s="41"/>
      <c r="V38" s="309"/>
    </row>
    <row r="39" spans="1:22" ht="18.75" x14ac:dyDescent="0.25">
      <c r="A39" s="8" t="s">
        <v>38</v>
      </c>
      <c r="B39" s="53"/>
      <c r="C39" s="111">
        <f>6000</f>
        <v>6000</v>
      </c>
      <c r="D39" s="237">
        <v>6000</v>
      </c>
      <c r="E39" s="54">
        <f t="shared" si="17"/>
        <v>0</v>
      </c>
      <c r="F39" s="142"/>
      <c r="G39" s="20">
        <f t="shared" si="6"/>
        <v>0</v>
      </c>
      <c r="H39" s="233">
        <v>7200</v>
      </c>
      <c r="I39" s="111">
        <f>7200+4800</f>
        <v>12000</v>
      </c>
      <c r="J39" s="142"/>
      <c r="K39" s="20">
        <f t="shared" si="3"/>
        <v>12000</v>
      </c>
      <c r="L39" s="168">
        <v>12000</v>
      </c>
      <c r="M39" s="154"/>
      <c r="N39" s="33">
        <f t="shared" si="13"/>
        <v>12000</v>
      </c>
      <c r="O39" s="237">
        <f>1000</f>
        <v>1000</v>
      </c>
      <c r="P39" s="154"/>
      <c r="Q39" s="19">
        <f t="shared" si="2"/>
        <v>1000</v>
      </c>
      <c r="R39" s="183"/>
      <c r="S39" s="113">
        <f t="shared" si="7"/>
        <v>11000</v>
      </c>
      <c r="T39" s="186">
        <f t="shared" si="14"/>
        <v>0</v>
      </c>
      <c r="U39" s="41"/>
      <c r="V39" s="309"/>
    </row>
    <row r="40" spans="1:22" ht="18.75" x14ac:dyDescent="0.25">
      <c r="A40" s="8" t="s">
        <v>42</v>
      </c>
      <c r="B40" s="53"/>
      <c r="C40" s="111"/>
      <c r="D40" s="237"/>
      <c r="E40" s="54">
        <f t="shared" si="17"/>
        <v>0</v>
      </c>
      <c r="F40" s="142"/>
      <c r="G40" s="20">
        <f t="shared" si="6"/>
        <v>0</v>
      </c>
      <c r="H40" s="233"/>
      <c r="I40" s="111"/>
      <c r="J40" s="142"/>
      <c r="K40" s="20">
        <f t="shared" si="3"/>
        <v>0</v>
      </c>
      <c r="L40" s="168"/>
      <c r="M40" s="154"/>
      <c r="N40" s="33">
        <f t="shared" si="13"/>
        <v>0</v>
      </c>
      <c r="O40" s="237"/>
      <c r="P40" s="154"/>
      <c r="Q40" s="19">
        <f t="shared" si="2"/>
        <v>0</v>
      </c>
      <c r="R40" s="183"/>
      <c r="S40" s="113">
        <f t="shared" si="7"/>
        <v>0</v>
      </c>
      <c r="T40" s="186">
        <f t="shared" si="14"/>
        <v>0</v>
      </c>
      <c r="U40" s="41"/>
      <c r="V40" s="309"/>
    </row>
    <row r="41" spans="1:22" ht="18.75" x14ac:dyDescent="0.25">
      <c r="A41" s="26" t="s">
        <v>19</v>
      </c>
      <c r="B41" s="53"/>
      <c r="C41" s="111">
        <v>6600</v>
      </c>
      <c r="D41" s="237">
        <v>6600</v>
      </c>
      <c r="E41" s="54">
        <f t="shared" si="17"/>
        <v>0</v>
      </c>
      <c r="F41" s="142"/>
      <c r="G41" s="20">
        <f t="shared" si="6"/>
        <v>0</v>
      </c>
      <c r="H41" s="233">
        <v>6600</v>
      </c>
      <c r="I41" s="111">
        <v>6600</v>
      </c>
      <c r="J41" s="142"/>
      <c r="K41" s="20">
        <f t="shared" si="3"/>
        <v>6600</v>
      </c>
      <c r="L41" s="168">
        <v>6600</v>
      </c>
      <c r="M41" s="154"/>
      <c r="N41" s="33">
        <f t="shared" si="13"/>
        <v>6600</v>
      </c>
      <c r="O41" s="237">
        <f>550</f>
        <v>550</v>
      </c>
      <c r="P41" s="154"/>
      <c r="Q41" s="19">
        <f t="shared" si="2"/>
        <v>550</v>
      </c>
      <c r="R41" s="183"/>
      <c r="S41" s="113">
        <f t="shared" si="7"/>
        <v>6050</v>
      </c>
      <c r="T41" s="186">
        <f t="shared" si="14"/>
        <v>0</v>
      </c>
      <c r="U41" s="41"/>
      <c r="V41" s="309"/>
    </row>
    <row r="42" spans="1:22" ht="18.75" x14ac:dyDescent="0.25">
      <c r="A42" s="8" t="s">
        <v>20</v>
      </c>
      <c r="B42" s="53"/>
      <c r="C42" s="111"/>
      <c r="D42" s="237"/>
      <c r="E42" s="54">
        <f t="shared" si="17"/>
        <v>0</v>
      </c>
      <c r="F42" s="142"/>
      <c r="G42" s="20">
        <f t="shared" si="6"/>
        <v>0</v>
      </c>
      <c r="H42" s="233"/>
      <c r="I42" s="111"/>
      <c r="J42" s="142"/>
      <c r="K42" s="20">
        <f t="shared" si="3"/>
        <v>0</v>
      </c>
      <c r="L42" s="168"/>
      <c r="M42" s="154"/>
      <c r="N42" s="33">
        <f t="shared" si="13"/>
        <v>0</v>
      </c>
      <c r="O42" s="237"/>
      <c r="P42" s="154"/>
      <c r="Q42" s="19">
        <f t="shared" si="2"/>
        <v>0</v>
      </c>
      <c r="R42" s="183"/>
      <c r="S42" s="113">
        <f t="shared" si="7"/>
        <v>0</v>
      </c>
      <c r="T42" s="186">
        <f t="shared" si="14"/>
        <v>0</v>
      </c>
      <c r="U42" s="41"/>
      <c r="V42" s="309"/>
    </row>
    <row r="43" spans="1:22" ht="18.75" x14ac:dyDescent="0.25">
      <c r="A43" s="8" t="s">
        <v>126</v>
      </c>
      <c r="B43" s="53"/>
      <c r="C43" s="111"/>
      <c r="D43" s="237"/>
      <c r="E43" s="54">
        <f t="shared" si="17"/>
        <v>0</v>
      </c>
      <c r="F43" s="142"/>
      <c r="G43" s="20">
        <f t="shared" si="6"/>
        <v>0</v>
      </c>
      <c r="H43" s="233"/>
      <c r="I43" s="111"/>
      <c r="J43" s="142"/>
      <c r="K43" s="20">
        <f t="shared" si="3"/>
        <v>0</v>
      </c>
      <c r="L43" s="168"/>
      <c r="M43" s="154"/>
      <c r="N43" s="33">
        <f t="shared" si="13"/>
        <v>0</v>
      </c>
      <c r="O43" s="237"/>
      <c r="P43" s="154"/>
      <c r="Q43" s="19">
        <f t="shared" si="2"/>
        <v>0</v>
      </c>
      <c r="R43" s="183"/>
      <c r="S43" s="113">
        <f t="shared" si="7"/>
        <v>0</v>
      </c>
      <c r="T43" s="186">
        <f t="shared" si="14"/>
        <v>0</v>
      </c>
      <c r="U43" s="41"/>
      <c r="V43" s="309"/>
    </row>
    <row r="44" spans="1:22" ht="18.75" x14ac:dyDescent="0.25">
      <c r="A44" s="8" t="s">
        <v>113</v>
      </c>
      <c r="B44" s="53"/>
      <c r="C44" s="111"/>
      <c r="D44" s="237"/>
      <c r="E44" s="54">
        <f t="shared" si="17"/>
        <v>0</v>
      </c>
      <c r="F44" s="142"/>
      <c r="G44" s="20">
        <v>0</v>
      </c>
      <c r="H44" s="233"/>
      <c r="I44" s="111"/>
      <c r="J44" s="142"/>
      <c r="K44" s="20">
        <f t="shared" si="3"/>
        <v>0</v>
      </c>
      <c r="L44" s="168"/>
      <c r="M44" s="154"/>
      <c r="N44" s="33">
        <f t="shared" si="13"/>
        <v>0</v>
      </c>
      <c r="O44" s="237"/>
      <c r="P44" s="154"/>
      <c r="Q44" s="19">
        <f t="shared" si="2"/>
        <v>0</v>
      </c>
      <c r="R44" s="183"/>
      <c r="S44" s="113">
        <f t="shared" si="7"/>
        <v>0</v>
      </c>
      <c r="T44" s="186">
        <f t="shared" si="14"/>
        <v>0</v>
      </c>
      <c r="U44" s="41"/>
      <c r="V44" s="309"/>
    </row>
    <row r="45" spans="1:22" ht="18.75" x14ac:dyDescent="0.25">
      <c r="A45" s="28" t="s">
        <v>198</v>
      </c>
      <c r="B45" s="53"/>
      <c r="C45" s="111"/>
      <c r="D45" s="237"/>
      <c r="E45" s="54">
        <f t="shared" si="17"/>
        <v>0</v>
      </c>
      <c r="F45" s="142"/>
      <c r="G45" s="20">
        <v>0</v>
      </c>
      <c r="H45" s="233"/>
      <c r="I45" s="111"/>
      <c r="J45" s="142"/>
      <c r="K45" s="20">
        <f t="shared" si="3"/>
        <v>0</v>
      </c>
      <c r="L45" s="168"/>
      <c r="M45" s="154"/>
      <c r="N45" s="33">
        <f t="shared" si="13"/>
        <v>0</v>
      </c>
      <c r="O45" s="237"/>
      <c r="P45" s="154"/>
      <c r="Q45" s="19">
        <f t="shared" si="2"/>
        <v>0</v>
      </c>
      <c r="R45" s="183"/>
      <c r="S45" s="113">
        <f t="shared" si="7"/>
        <v>0</v>
      </c>
      <c r="T45" s="186">
        <f t="shared" si="14"/>
        <v>0</v>
      </c>
      <c r="U45" s="41"/>
      <c r="V45" s="309"/>
    </row>
    <row r="46" spans="1:22" ht="37.5" x14ac:dyDescent="0.25">
      <c r="A46" s="8" t="s">
        <v>47</v>
      </c>
      <c r="B46" s="53"/>
      <c r="C46" s="111"/>
      <c r="D46" s="237"/>
      <c r="E46" s="54">
        <f t="shared" si="17"/>
        <v>0</v>
      </c>
      <c r="F46" s="142"/>
      <c r="G46" s="20">
        <v>0</v>
      </c>
      <c r="H46" s="233"/>
      <c r="I46" s="111"/>
      <c r="J46" s="142"/>
      <c r="K46" s="20">
        <f t="shared" si="3"/>
        <v>0</v>
      </c>
      <c r="L46" s="168"/>
      <c r="M46" s="154"/>
      <c r="N46" s="33">
        <f t="shared" si="13"/>
        <v>0</v>
      </c>
      <c r="O46" s="237"/>
      <c r="P46" s="154"/>
      <c r="Q46" s="19">
        <f t="shared" si="2"/>
        <v>0</v>
      </c>
      <c r="R46" s="183"/>
      <c r="S46" s="113">
        <f t="shared" si="7"/>
        <v>0</v>
      </c>
      <c r="T46" s="186">
        <f t="shared" si="14"/>
        <v>0</v>
      </c>
      <c r="U46" s="41"/>
      <c r="V46" s="309"/>
    </row>
    <row r="47" spans="1:22" ht="56.25" x14ac:dyDescent="0.25">
      <c r="A47" s="24" t="s">
        <v>151</v>
      </c>
      <c r="B47" s="53"/>
      <c r="C47" s="111">
        <f>9000+3000+1500+1500+3000</f>
        <v>18000</v>
      </c>
      <c r="D47" s="237">
        <v>18000</v>
      </c>
      <c r="E47" s="54">
        <f t="shared" si="17"/>
        <v>0</v>
      </c>
      <c r="F47" s="142"/>
      <c r="G47" s="20">
        <f t="shared" si="6"/>
        <v>0</v>
      </c>
      <c r="H47" s="233">
        <v>18000</v>
      </c>
      <c r="I47" s="111">
        <v>18000</v>
      </c>
      <c r="J47" s="142"/>
      <c r="K47" s="20">
        <f t="shared" si="3"/>
        <v>18000</v>
      </c>
      <c r="L47" s="168">
        <v>1800</v>
      </c>
      <c r="M47" s="154"/>
      <c r="N47" s="33">
        <f t="shared" si="13"/>
        <v>1800</v>
      </c>
      <c r="O47" s="237">
        <f>1500</f>
        <v>1500</v>
      </c>
      <c r="P47" s="154"/>
      <c r="Q47" s="19">
        <f t="shared" si="2"/>
        <v>1500</v>
      </c>
      <c r="R47" s="183"/>
      <c r="S47" s="113">
        <f t="shared" si="7"/>
        <v>16500</v>
      </c>
      <c r="T47" s="186">
        <f t="shared" si="14"/>
        <v>16200</v>
      </c>
      <c r="U47" s="41"/>
      <c r="V47" s="309"/>
    </row>
    <row r="48" spans="1:22" ht="37.5" x14ac:dyDescent="0.25">
      <c r="A48" s="11" t="s">
        <v>72</v>
      </c>
      <c r="B48" s="53"/>
      <c r="C48" s="111"/>
      <c r="D48" s="237"/>
      <c r="E48" s="54">
        <f t="shared" si="17"/>
        <v>0</v>
      </c>
      <c r="F48" s="142"/>
      <c r="G48" s="20">
        <f t="shared" si="6"/>
        <v>0</v>
      </c>
      <c r="H48" s="233"/>
      <c r="I48" s="111"/>
      <c r="J48" s="142"/>
      <c r="K48" s="20">
        <f t="shared" si="3"/>
        <v>0</v>
      </c>
      <c r="L48" s="168"/>
      <c r="M48" s="154"/>
      <c r="N48" s="33">
        <f t="shared" si="13"/>
        <v>0</v>
      </c>
      <c r="O48" s="237"/>
      <c r="P48" s="154"/>
      <c r="Q48" s="19">
        <f t="shared" si="2"/>
        <v>0</v>
      </c>
      <c r="R48" s="183"/>
      <c r="S48" s="113">
        <f t="shared" si="7"/>
        <v>0</v>
      </c>
      <c r="T48" s="186">
        <f t="shared" si="14"/>
        <v>0</v>
      </c>
      <c r="U48" s="41"/>
      <c r="V48" s="309"/>
    </row>
    <row r="49" spans="1:22" ht="18.75" x14ac:dyDescent="0.25">
      <c r="A49" s="8" t="s">
        <v>21</v>
      </c>
      <c r="B49" s="53"/>
      <c r="C49" s="111">
        <f>6207-6207+6207</f>
        <v>6207</v>
      </c>
      <c r="D49" s="237">
        <v>6207</v>
      </c>
      <c r="E49" s="54">
        <f t="shared" si="17"/>
        <v>0</v>
      </c>
      <c r="F49" s="142"/>
      <c r="G49" s="20">
        <f t="shared" si="6"/>
        <v>0</v>
      </c>
      <c r="H49" s="233">
        <v>6831</v>
      </c>
      <c r="I49" s="111">
        <v>6831</v>
      </c>
      <c r="J49" s="142"/>
      <c r="K49" s="20">
        <f t="shared" si="3"/>
        <v>6831</v>
      </c>
      <c r="L49" s="168"/>
      <c r="M49" s="154"/>
      <c r="N49" s="33">
        <f t="shared" si="13"/>
        <v>0</v>
      </c>
      <c r="O49" s="237"/>
      <c r="P49" s="154"/>
      <c r="Q49" s="19">
        <f t="shared" si="2"/>
        <v>0</v>
      </c>
      <c r="R49" s="183"/>
      <c r="S49" s="113">
        <f t="shared" si="7"/>
        <v>6831</v>
      </c>
      <c r="T49" s="186">
        <f t="shared" si="14"/>
        <v>6831</v>
      </c>
      <c r="U49" s="41"/>
      <c r="V49" s="309"/>
    </row>
    <row r="50" spans="1:22" ht="37.5" x14ac:dyDescent="0.25">
      <c r="A50" s="8" t="s">
        <v>156</v>
      </c>
      <c r="B50" s="53"/>
      <c r="C50" s="111"/>
      <c r="D50" s="237"/>
      <c r="E50" s="54">
        <f t="shared" si="17"/>
        <v>0</v>
      </c>
      <c r="F50" s="142"/>
      <c r="G50" s="20">
        <f t="shared" si="6"/>
        <v>0</v>
      </c>
      <c r="H50" s="233"/>
      <c r="I50" s="111"/>
      <c r="J50" s="142"/>
      <c r="K50" s="20">
        <f t="shared" si="3"/>
        <v>0</v>
      </c>
      <c r="L50" s="168"/>
      <c r="M50" s="154"/>
      <c r="N50" s="33">
        <f t="shared" si="13"/>
        <v>0</v>
      </c>
      <c r="O50" s="237"/>
      <c r="P50" s="154"/>
      <c r="Q50" s="19">
        <f t="shared" si="2"/>
        <v>0</v>
      </c>
      <c r="R50" s="183"/>
      <c r="S50" s="113">
        <f t="shared" si="7"/>
        <v>0</v>
      </c>
      <c r="T50" s="186">
        <f t="shared" si="14"/>
        <v>0</v>
      </c>
      <c r="U50" s="41"/>
      <c r="V50" s="309"/>
    </row>
    <row r="51" spans="1:22" ht="75" x14ac:dyDescent="0.25">
      <c r="A51" s="8" t="s">
        <v>116</v>
      </c>
      <c r="B51" s="53"/>
      <c r="C51" s="111"/>
      <c r="D51" s="237"/>
      <c r="E51" s="54">
        <f t="shared" si="17"/>
        <v>0</v>
      </c>
      <c r="F51" s="142"/>
      <c r="G51" s="20">
        <f t="shared" si="6"/>
        <v>0</v>
      </c>
      <c r="H51" s="233"/>
      <c r="I51" s="111"/>
      <c r="J51" s="142"/>
      <c r="K51" s="20">
        <f t="shared" si="3"/>
        <v>0</v>
      </c>
      <c r="L51" s="168"/>
      <c r="M51" s="154"/>
      <c r="N51" s="33">
        <f t="shared" si="13"/>
        <v>0</v>
      </c>
      <c r="O51" s="237"/>
      <c r="P51" s="154"/>
      <c r="Q51" s="19">
        <f t="shared" si="2"/>
        <v>0</v>
      </c>
      <c r="R51" s="183"/>
      <c r="S51" s="113">
        <f t="shared" si="7"/>
        <v>0</v>
      </c>
      <c r="T51" s="186">
        <f t="shared" si="14"/>
        <v>0</v>
      </c>
      <c r="U51" s="41"/>
      <c r="V51" s="309"/>
    </row>
    <row r="52" spans="1:22" ht="37.5" x14ac:dyDescent="0.25">
      <c r="A52" s="8" t="s">
        <v>114</v>
      </c>
      <c r="B52" s="53"/>
      <c r="C52" s="111"/>
      <c r="D52" s="237"/>
      <c r="E52" s="54">
        <f t="shared" si="17"/>
        <v>0</v>
      </c>
      <c r="F52" s="142"/>
      <c r="G52" s="20">
        <f t="shared" si="6"/>
        <v>0</v>
      </c>
      <c r="H52" s="233"/>
      <c r="I52" s="111"/>
      <c r="J52" s="142"/>
      <c r="K52" s="20">
        <f t="shared" si="3"/>
        <v>0</v>
      </c>
      <c r="L52" s="168"/>
      <c r="M52" s="154"/>
      <c r="N52" s="33">
        <f t="shared" si="13"/>
        <v>0</v>
      </c>
      <c r="O52" s="237"/>
      <c r="P52" s="154"/>
      <c r="Q52" s="19">
        <f t="shared" si="2"/>
        <v>0</v>
      </c>
      <c r="R52" s="183"/>
      <c r="S52" s="113">
        <f t="shared" si="7"/>
        <v>0</v>
      </c>
      <c r="T52" s="186">
        <f t="shared" si="14"/>
        <v>0</v>
      </c>
      <c r="U52" s="41"/>
      <c r="V52" s="309"/>
    </row>
    <row r="53" spans="1:22" ht="18.75" x14ac:dyDescent="0.2">
      <c r="A53" s="23" t="s">
        <v>276</v>
      </c>
      <c r="B53" s="60"/>
      <c r="C53" s="111"/>
      <c r="D53" s="237"/>
      <c r="E53" s="54">
        <f t="shared" si="17"/>
        <v>0</v>
      </c>
      <c r="F53" s="142"/>
      <c r="G53" s="20">
        <f t="shared" si="6"/>
        <v>0</v>
      </c>
      <c r="H53" s="233"/>
      <c r="I53" s="111"/>
      <c r="J53" s="142"/>
      <c r="K53" s="20">
        <f t="shared" si="3"/>
        <v>0</v>
      </c>
      <c r="L53" s="168"/>
      <c r="M53" s="154"/>
      <c r="N53" s="33">
        <f t="shared" si="13"/>
        <v>0</v>
      </c>
      <c r="O53" s="237"/>
      <c r="P53" s="154"/>
      <c r="Q53" s="19">
        <f t="shared" si="2"/>
        <v>0</v>
      </c>
      <c r="R53" s="183"/>
      <c r="S53" s="113">
        <f t="shared" si="7"/>
        <v>0</v>
      </c>
      <c r="T53" s="186">
        <f t="shared" si="14"/>
        <v>0</v>
      </c>
      <c r="U53" s="41"/>
      <c r="V53" s="309"/>
    </row>
    <row r="54" spans="1:22" ht="37.5" x14ac:dyDescent="0.2">
      <c r="A54" s="8" t="s">
        <v>63</v>
      </c>
      <c r="B54" s="60"/>
      <c r="C54" s="111"/>
      <c r="D54" s="237"/>
      <c r="E54" s="54">
        <f t="shared" si="17"/>
        <v>0</v>
      </c>
      <c r="F54" s="142"/>
      <c r="G54" s="20">
        <f t="shared" si="6"/>
        <v>0</v>
      </c>
      <c r="H54" s="233"/>
      <c r="I54" s="111"/>
      <c r="J54" s="142"/>
      <c r="K54" s="20">
        <f t="shared" si="3"/>
        <v>0</v>
      </c>
      <c r="L54" s="168"/>
      <c r="M54" s="154"/>
      <c r="N54" s="33">
        <f t="shared" si="13"/>
        <v>0</v>
      </c>
      <c r="O54" s="237"/>
      <c r="P54" s="154"/>
      <c r="Q54" s="19">
        <f t="shared" si="2"/>
        <v>0</v>
      </c>
      <c r="R54" s="183"/>
      <c r="S54" s="113">
        <f t="shared" si="7"/>
        <v>0</v>
      </c>
      <c r="T54" s="186">
        <f t="shared" si="14"/>
        <v>0</v>
      </c>
      <c r="U54" s="41"/>
      <c r="V54" s="309"/>
    </row>
    <row r="55" spans="1:22" ht="18.75" x14ac:dyDescent="0.2">
      <c r="A55" s="8" t="s">
        <v>58</v>
      </c>
      <c r="B55" s="60"/>
      <c r="C55" s="111">
        <f>459.39-157.23</f>
        <v>302.15999999999997</v>
      </c>
      <c r="D55" s="237">
        <v>302.16000000000003</v>
      </c>
      <c r="E55" s="54">
        <f t="shared" si="17"/>
        <v>0</v>
      </c>
      <c r="F55" s="142"/>
      <c r="G55" s="20">
        <f t="shared" si="6"/>
        <v>0</v>
      </c>
      <c r="H55" s="233">
        <v>500</v>
      </c>
      <c r="I55" s="111">
        <v>500</v>
      </c>
      <c r="J55" s="142"/>
      <c r="K55" s="20">
        <f t="shared" si="3"/>
        <v>500</v>
      </c>
      <c r="L55" s="168"/>
      <c r="M55" s="154"/>
      <c r="N55" s="33">
        <f t="shared" si="13"/>
        <v>0</v>
      </c>
      <c r="O55" s="237"/>
      <c r="P55" s="154"/>
      <c r="Q55" s="19">
        <f t="shared" si="2"/>
        <v>0</v>
      </c>
      <c r="R55" s="183"/>
      <c r="S55" s="113">
        <f t="shared" si="7"/>
        <v>500</v>
      </c>
      <c r="T55" s="186">
        <f t="shared" si="14"/>
        <v>500</v>
      </c>
      <c r="U55" s="41"/>
      <c r="V55" s="309"/>
    </row>
    <row r="56" spans="1:22" ht="18.75" x14ac:dyDescent="0.2">
      <c r="A56" s="8" t="s">
        <v>46</v>
      </c>
      <c r="B56" s="60"/>
      <c r="C56" s="111"/>
      <c r="D56" s="237"/>
      <c r="E56" s="54">
        <f t="shared" si="17"/>
        <v>0</v>
      </c>
      <c r="F56" s="142"/>
      <c r="G56" s="20">
        <f t="shared" si="6"/>
        <v>0</v>
      </c>
      <c r="H56" s="233"/>
      <c r="I56" s="111"/>
      <c r="J56" s="142"/>
      <c r="K56" s="20">
        <f t="shared" si="3"/>
        <v>0</v>
      </c>
      <c r="L56" s="168"/>
      <c r="M56" s="154"/>
      <c r="N56" s="33">
        <f t="shared" si="13"/>
        <v>0</v>
      </c>
      <c r="O56" s="237"/>
      <c r="P56" s="154"/>
      <c r="Q56" s="19">
        <f t="shared" si="2"/>
        <v>0</v>
      </c>
      <c r="R56" s="183"/>
      <c r="S56" s="113">
        <f t="shared" si="7"/>
        <v>0</v>
      </c>
      <c r="T56" s="186">
        <f t="shared" si="14"/>
        <v>0</v>
      </c>
      <c r="U56" s="41"/>
      <c r="V56" s="309"/>
    </row>
    <row r="57" spans="1:22" ht="18.75" x14ac:dyDescent="0.2">
      <c r="A57" s="8" t="s">
        <v>34</v>
      </c>
      <c r="B57" s="60"/>
      <c r="C57" s="111"/>
      <c r="D57" s="237"/>
      <c r="E57" s="54">
        <f t="shared" si="17"/>
        <v>0</v>
      </c>
      <c r="F57" s="142"/>
      <c r="G57" s="20">
        <f t="shared" si="6"/>
        <v>0</v>
      </c>
      <c r="H57" s="233"/>
      <c r="I57" s="111"/>
      <c r="J57" s="142"/>
      <c r="K57" s="20">
        <f t="shared" si="3"/>
        <v>0</v>
      </c>
      <c r="L57" s="168"/>
      <c r="M57" s="154"/>
      <c r="N57" s="33">
        <f t="shared" si="13"/>
        <v>0</v>
      </c>
      <c r="O57" s="237"/>
      <c r="P57" s="154"/>
      <c r="Q57" s="19">
        <f t="shared" si="2"/>
        <v>0</v>
      </c>
      <c r="R57" s="183"/>
      <c r="S57" s="113">
        <f t="shared" si="7"/>
        <v>0</v>
      </c>
      <c r="T57" s="186">
        <f t="shared" si="14"/>
        <v>0</v>
      </c>
      <c r="U57" s="41"/>
      <c r="V57" s="309"/>
    </row>
    <row r="58" spans="1:22" ht="18.75" x14ac:dyDescent="0.2">
      <c r="A58" s="8" t="s">
        <v>44</v>
      </c>
      <c r="B58" s="60"/>
      <c r="C58" s="111"/>
      <c r="D58" s="237"/>
      <c r="E58" s="54">
        <f t="shared" si="17"/>
        <v>0</v>
      </c>
      <c r="F58" s="142"/>
      <c r="G58" s="20">
        <f t="shared" si="6"/>
        <v>0</v>
      </c>
      <c r="H58" s="233"/>
      <c r="I58" s="111"/>
      <c r="J58" s="142"/>
      <c r="K58" s="20">
        <f t="shared" si="3"/>
        <v>0</v>
      </c>
      <c r="L58" s="168"/>
      <c r="M58" s="154"/>
      <c r="N58" s="33">
        <f t="shared" si="13"/>
        <v>0</v>
      </c>
      <c r="O58" s="237"/>
      <c r="P58" s="154"/>
      <c r="Q58" s="19">
        <f t="shared" si="2"/>
        <v>0</v>
      </c>
      <c r="R58" s="183"/>
      <c r="S58" s="113">
        <f t="shared" si="7"/>
        <v>0</v>
      </c>
      <c r="T58" s="186">
        <f t="shared" si="14"/>
        <v>0</v>
      </c>
      <c r="U58" s="41"/>
      <c r="V58" s="309"/>
    </row>
    <row r="59" spans="1:22" ht="18.75" x14ac:dyDescent="0.2">
      <c r="A59" s="8" t="s">
        <v>291</v>
      </c>
      <c r="B59" s="60"/>
      <c r="C59" s="111">
        <f>6800-6800</f>
        <v>0</v>
      </c>
      <c r="D59" s="237"/>
      <c r="E59" s="54">
        <f t="shared" si="17"/>
        <v>0</v>
      </c>
      <c r="F59" s="142"/>
      <c r="G59" s="20">
        <f t="shared" si="6"/>
        <v>0</v>
      </c>
      <c r="H59" s="233"/>
      <c r="I59" s="111"/>
      <c r="J59" s="142"/>
      <c r="K59" s="20">
        <f t="shared" si="3"/>
        <v>0</v>
      </c>
      <c r="L59" s="168"/>
      <c r="M59" s="154"/>
      <c r="N59" s="33">
        <f t="shared" si="13"/>
        <v>0</v>
      </c>
      <c r="O59" s="237"/>
      <c r="P59" s="154"/>
      <c r="Q59" s="19">
        <f t="shared" si="2"/>
        <v>0</v>
      </c>
      <c r="R59" s="183"/>
      <c r="S59" s="113">
        <f t="shared" si="7"/>
        <v>0</v>
      </c>
      <c r="T59" s="186">
        <f t="shared" si="14"/>
        <v>0</v>
      </c>
      <c r="U59" s="41"/>
      <c r="V59" s="309"/>
    </row>
    <row r="60" spans="1:22" ht="18.75" x14ac:dyDescent="0.2">
      <c r="A60" s="9" t="s">
        <v>279</v>
      </c>
      <c r="B60" s="60"/>
      <c r="C60" s="111">
        <f>17200-17200</f>
        <v>0</v>
      </c>
      <c r="D60" s="237"/>
      <c r="E60" s="54"/>
      <c r="F60" s="142"/>
      <c r="G60" s="20"/>
      <c r="H60" s="233"/>
      <c r="I60" s="111"/>
      <c r="J60" s="142"/>
      <c r="K60" s="20">
        <f t="shared" si="3"/>
        <v>0</v>
      </c>
      <c r="L60" s="168"/>
      <c r="M60" s="154"/>
      <c r="N60" s="33">
        <f t="shared" si="13"/>
        <v>0</v>
      </c>
      <c r="O60" s="237"/>
      <c r="P60" s="154"/>
      <c r="Q60" s="19">
        <f t="shared" si="2"/>
        <v>0</v>
      </c>
      <c r="R60" s="183"/>
      <c r="S60" s="113">
        <f t="shared" si="7"/>
        <v>0</v>
      </c>
      <c r="T60" s="186">
        <f t="shared" si="14"/>
        <v>0</v>
      </c>
      <c r="U60" s="41"/>
      <c r="V60" s="309"/>
    </row>
    <row r="61" spans="1:22" s="2" customFormat="1" ht="18.75" x14ac:dyDescent="0.25">
      <c r="A61" s="193" t="s">
        <v>22</v>
      </c>
      <c r="B61" s="190">
        <v>226</v>
      </c>
      <c r="C61" s="195">
        <f t="shared" ref="C61" si="18">SUM(C62:C98)</f>
        <v>486358.71</v>
      </c>
      <c r="D61" s="195">
        <v>450909.82</v>
      </c>
      <c r="E61" s="195">
        <f t="shared" ref="E61:R61" si="19">SUM(E62:E98)</f>
        <v>35448.890000000007</v>
      </c>
      <c r="F61" s="195">
        <f t="shared" si="19"/>
        <v>0</v>
      </c>
      <c r="G61" s="195">
        <f t="shared" si="19"/>
        <v>35448.890000000007</v>
      </c>
      <c r="H61" s="195">
        <f t="shared" si="19"/>
        <v>389919</v>
      </c>
      <c r="I61" s="195">
        <f t="shared" si="19"/>
        <v>420567.89</v>
      </c>
      <c r="J61" s="195">
        <f t="shared" si="19"/>
        <v>0</v>
      </c>
      <c r="K61" s="195">
        <f t="shared" si="19"/>
        <v>420567.89</v>
      </c>
      <c r="L61" s="195">
        <f t="shared" si="19"/>
        <v>76244</v>
      </c>
      <c r="M61" s="195">
        <f t="shared" si="19"/>
        <v>0</v>
      </c>
      <c r="N61" s="195">
        <f t="shared" si="19"/>
        <v>76244</v>
      </c>
      <c r="O61" s="195">
        <f t="shared" si="19"/>
        <v>69620.89</v>
      </c>
      <c r="P61" s="195">
        <f t="shared" si="19"/>
        <v>35448.89</v>
      </c>
      <c r="Q61" s="195">
        <f t="shared" si="19"/>
        <v>69620.89</v>
      </c>
      <c r="R61" s="195">
        <f t="shared" si="19"/>
        <v>0</v>
      </c>
      <c r="S61" s="195">
        <f>SUM(S62:S98)</f>
        <v>350947</v>
      </c>
      <c r="T61" s="195">
        <f>SUM(T62:T98)</f>
        <v>344323.89</v>
      </c>
      <c r="U61" s="231">
        <f>SUM(U62:U98)</f>
        <v>0</v>
      </c>
      <c r="V61" s="231">
        <f>SUM(V62:V98)</f>
        <v>0</v>
      </c>
    </row>
    <row r="62" spans="1:22" s="2" customFormat="1" ht="37.5" x14ac:dyDescent="0.25">
      <c r="A62" s="11" t="s">
        <v>61</v>
      </c>
      <c r="B62" s="52"/>
      <c r="C62" s="111">
        <v>800</v>
      </c>
      <c r="D62" s="237">
        <v>800</v>
      </c>
      <c r="E62" s="54">
        <f t="shared" ref="E62:E98" si="20">C62-D62</f>
        <v>0</v>
      </c>
      <c r="F62" s="142"/>
      <c r="G62" s="20">
        <f t="shared" si="6"/>
        <v>0</v>
      </c>
      <c r="H62" s="233">
        <v>1000</v>
      </c>
      <c r="I62" s="111">
        <v>1000</v>
      </c>
      <c r="J62" s="142"/>
      <c r="K62" s="20">
        <f t="shared" si="3"/>
        <v>1000</v>
      </c>
      <c r="L62" s="168"/>
      <c r="M62" s="154"/>
      <c r="N62" s="33">
        <f t="shared" si="13"/>
        <v>0</v>
      </c>
      <c r="O62" s="237"/>
      <c r="P62" s="154"/>
      <c r="Q62" s="19">
        <f t="shared" si="2"/>
        <v>0</v>
      </c>
      <c r="R62" s="183"/>
      <c r="S62" s="113">
        <f t="shared" si="7"/>
        <v>1000</v>
      </c>
      <c r="T62" s="186">
        <f t="shared" si="14"/>
        <v>1000</v>
      </c>
      <c r="U62" s="41"/>
      <c r="V62" s="309"/>
    </row>
    <row r="63" spans="1:22" s="2" customFormat="1" ht="37.5" x14ac:dyDescent="0.25">
      <c r="A63" s="11" t="s">
        <v>72</v>
      </c>
      <c r="B63" s="52"/>
      <c r="C63" s="111"/>
      <c r="D63" s="237"/>
      <c r="E63" s="54">
        <f t="shared" si="20"/>
        <v>0</v>
      </c>
      <c r="F63" s="142"/>
      <c r="G63" s="20">
        <f t="shared" si="6"/>
        <v>0</v>
      </c>
      <c r="H63" s="233"/>
      <c r="I63" s="111"/>
      <c r="J63" s="142"/>
      <c r="K63" s="20">
        <f t="shared" si="3"/>
        <v>0</v>
      </c>
      <c r="L63" s="168"/>
      <c r="M63" s="154"/>
      <c r="N63" s="33">
        <f t="shared" si="13"/>
        <v>0</v>
      </c>
      <c r="O63" s="237"/>
      <c r="P63" s="154"/>
      <c r="Q63" s="19">
        <f t="shared" si="2"/>
        <v>0</v>
      </c>
      <c r="R63" s="183"/>
      <c r="S63" s="113">
        <f t="shared" si="7"/>
        <v>0</v>
      </c>
      <c r="T63" s="186">
        <f t="shared" si="14"/>
        <v>0</v>
      </c>
      <c r="U63" s="41"/>
      <c r="V63" s="309"/>
    </row>
    <row r="64" spans="1:22" s="2" customFormat="1" ht="37.5" x14ac:dyDescent="0.25">
      <c r="A64" s="11" t="s">
        <v>49</v>
      </c>
      <c r="B64" s="52"/>
      <c r="C64" s="111">
        <f>5775+3012.5-2807.5-1282.82</f>
        <v>4697.18</v>
      </c>
      <c r="D64" s="237">
        <v>4697.18</v>
      </c>
      <c r="E64" s="54">
        <f t="shared" si="20"/>
        <v>0</v>
      </c>
      <c r="F64" s="142"/>
      <c r="G64" s="20">
        <f t="shared" si="6"/>
        <v>0</v>
      </c>
      <c r="H64" s="233">
        <v>4700</v>
      </c>
      <c r="I64" s="111">
        <v>4700</v>
      </c>
      <c r="J64" s="142"/>
      <c r="K64" s="20">
        <f t="shared" si="3"/>
        <v>4700</v>
      </c>
      <c r="L64" s="168"/>
      <c r="M64" s="154"/>
      <c r="N64" s="33">
        <f t="shared" si="13"/>
        <v>0</v>
      </c>
      <c r="O64" s="237"/>
      <c r="P64" s="154"/>
      <c r="Q64" s="19">
        <f>O64-P64</f>
        <v>0</v>
      </c>
      <c r="R64" s="183"/>
      <c r="S64" s="113">
        <f>I64-O64-R64</f>
        <v>4700</v>
      </c>
      <c r="T64" s="186">
        <f t="shared" si="14"/>
        <v>4700</v>
      </c>
      <c r="U64" s="41"/>
      <c r="V64" s="309"/>
    </row>
    <row r="65" spans="1:22" s="2" customFormat="1" ht="18.75" x14ac:dyDescent="0.25">
      <c r="A65" s="11" t="s">
        <v>175</v>
      </c>
      <c r="B65" s="52"/>
      <c r="C65" s="111"/>
      <c r="D65" s="237"/>
      <c r="E65" s="54">
        <f t="shared" si="20"/>
        <v>0</v>
      </c>
      <c r="F65" s="142"/>
      <c r="G65" s="20">
        <f t="shared" si="6"/>
        <v>0</v>
      </c>
      <c r="H65" s="233"/>
      <c r="I65" s="111"/>
      <c r="J65" s="142"/>
      <c r="K65" s="20">
        <f t="shared" si="3"/>
        <v>0</v>
      </c>
      <c r="L65" s="168"/>
      <c r="M65" s="154"/>
      <c r="N65" s="33">
        <f t="shared" si="13"/>
        <v>0</v>
      </c>
      <c r="O65" s="237"/>
      <c r="P65" s="154"/>
      <c r="Q65" s="19">
        <f t="shared" si="2"/>
        <v>0</v>
      </c>
      <c r="R65" s="183"/>
      <c r="S65" s="113">
        <f t="shared" si="7"/>
        <v>0</v>
      </c>
      <c r="T65" s="186">
        <f t="shared" si="14"/>
        <v>0</v>
      </c>
      <c r="U65" s="41"/>
      <c r="V65" s="309"/>
    </row>
    <row r="66" spans="1:22" s="2" customFormat="1" ht="18.75" x14ac:dyDescent="0.25">
      <c r="A66" s="84" t="s">
        <v>39</v>
      </c>
      <c r="B66" s="52"/>
      <c r="C66" s="111">
        <f>4448.49+2913.75-970.05-870.51-0.09-1535.27</f>
        <v>3986.3199999999993</v>
      </c>
      <c r="D66" s="237">
        <v>3986.32</v>
      </c>
      <c r="E66" s="54">
        <f t="shared" si="20"/>
        <v>0</v>
      </c>
      <c r="F66" s="142"/>
      <c r="G66" s="20">
        <f t="shared" si="6"/>
        <v>0</v>
      </c>
      <c r="H66" s="233">
        <v>4196</v>
      </c>
      <c r="I66" s="111">
        <v>4196</v>
      </c>
      <c r="J66" s="142"/>
      <c r="K66" s="20">
        <f t="shared" si="3"/>
        <v>4196</v>
      </c>
      <c r="L66" s="168"/>
      <c r="M66" s="154"/>
      <c r="N66" s="33">
        <f t="shared" si="13"/>
        <v>0</v>
      </c>
      <c r="O66" s="237"/>
      <c r="P66" s="154"/>
      <c r="Q66" s="19">
        <f t="shared" si="2"/>
        <v>0</v>
      </c>
      <c r="R66" s="183"/>
      <c r="S66" s="113">
        <f t="shared" si="7"/>
        <v>4196</v>
      </c>
      <c r="T66" s="186">
        <f t="shared" si="14"/>
        <v>4196</v>
      </c>
      <c r="U66" s="41"/>
      <c r="V66" s="309"/>
    </row>
    <row r="67" spans="1:22" s="2" customFormat="1" ht="18.75" x14ac:dyDescent="0.25">
      <c r="A67" s="82" t="s">
        <v>238</v>
      </c>
      <c r="B67" s="52"/>
      <c r="C67" s="111"/>
      <c r="D67" s="237"/>
      <c r="E67" s="54">
        <f t="shared" si="20"/>
        <v>0</v>
      </c>
      <c r="F67" s="142"/>
      <c r="G67" s="20">
        <f t="shared" si="6"/>
        <v>0</v>
      </c>
      <c r="H67" s="233"/>
      <c r="I67" s="111"/>
      <c r="J67" s="142"/>
      <c r="K67" s="20">
        <f t="shared" si="3"/>
        <v>0</v>
      </c>
      <c r="L67" s="168"/>
      <c r="M67" s="154"/>
      <c r="N67" s="33">
        <f t="shared" si="13"/>
        <v>0</v>
      </c>
      <c r="O67" s="237"/>
      <c r="P67" s="154"/>
      <c r="Q67" s="19">
        <f t="shared" si="2"/>
        <v>0</v>
      </c>
      <c r="R67" s="183"/>
      <c r="S67" s="113">
        <f t="shared" si="7"/>
        <v>0</v>
      </c>
      <c r="T67" s="186">
        <f t="shared" si="14"/>
        <v>0</v>
      </c>
      <c r="U67" s="41"/>
      <c r="V67" s="309"/>
    </row>
    <row r="68" spans="1:22" s="2" customFormat="1" ht="18.75" x14ac:dyDescent="0.25">
      <c r="A68" s="323" t="s">
        <v>48</v>
      </c>
      <c r="B68" s="52"/>
      <c r="C68" s="111">
        <f>189540+71280+1620+139320-15.24-9411.14-1177.82+0.09</f>
        <v>391155.89</v>
      </c>
      <c r="D68" s="237">
        <v>362645.76000000001</v>
      </c>
      <c r="E68" s="54">
        <f t="shared" si="20"/>
        <v>28510.130000000005</v>
      </c>
      <c r="F68" s="142"/>
      <c r="G68" s="20">
        <f t="shared" si="6"/>
        <v>28510.130000000005</v>
      </c>
      <c r="H68" s="233">
        <f>325014+27600</f>
        <v>352614</v>
      </c>
      <c r="I68" s="111">
        <f>352614+35448.89</f>
        <v>388062.89</v>
      </c>
      <c r="J68" s="142"/>
      <c r="K68" s="20">
        <f t="shared" si="3"/>
        <v>388062.89</v>
      </c>
      <c r="L68" s="168">
        <f>33372+34872</f>
        <v>68244</v>
      </c>
      <c r="M68" s="154"/>
      <c r="N68" s="33">
        <f t="shared" si="13"/>
        <v>68244</v>
      </c>
      <c r="O68" s="237">
        <f>35448.89+33372</f>
        <v>68820.89</v>
      </c>
      <c r="P68" s="154">
        <v>35448.89</v>
      </c>
      <c r="Q68" s="19">
        <f>O68</f>
        <v>68820.89</v>
      </c>
      <c r="R68" s="183"/>
      <c r="S68" s="113">
        <f t="shared" si="7"/>
        <v>319242</v>
      </c>
      <c r="T68" s="186">
        <f t="shared" si="14"/>
        <v>319818.89</v>
      </c>
      <c r="U68" s="41"/>
      <c r="V68" s="309"/>
    </row>
    <row r="69" spans="1:22" s="2" customFormat="1" ht="18.75" x14ac:dyDescent="0.25">
      <c r="A69" s="323" t="s">
        <v>56</v>
      </c>
      <c r="B69" s="52"/>
      <c r="C69" s="111">
        <f>13800+4600+9200+15.24</f>
        <v>27615.24</v>
      </c>
      <c r="D69" s="237">
        <v>20676.48</v>
      </c>
      <c r="E69" s="54">
        <f t="shared" si="20"/>
        <v>6938.760000000002</v>
      </c>
      <c r="F69" s="142"/>
      <c r="G69" s="20">
        <f t="shared" si="6"/>
        <v>6938.760000000002</v>
      </c>
      <c r="H69" s="233"/>
      <c r="I69" s="111"/>
      <c r="J69" s="142"/>
      <c r="K69" s="20">
        <f t="shared" si="3"/>
        <v>0</v>
      </c>
      <c r="L69" s="168"/>
      <c r="M69" s="154"/>
      <c r="N69" s="33">
        <f t="shared" si="13"/>
        <v>0</v>
      </c>
      <c r="O69" s="237"/>
      <c r="P69" s="154"/>
      <c r="Q69" s="19">
        <f t="shared" si="2"/>
        <v>0</v>
      </c>
      <c r="R69" s="183"/>
      <c r="S69" s="113">
        <f t="shared" si="7"/>
        <v>0</v>
      </c>
      <c r="T69" s="186">
        <f t="shared" si="14"/>
        <v>0</v>
      </c>
      <c r="U69" s="41"/>
      <c r="V69" s="309"/>
    </row>
    <row r="70" spans="1:22" s="2" customFormat="1" ht="37.5" x14ac:dyDescent="0.25">
      <c r="A70" s="97" t="s">
        <v>119</v>
      </c>
      <c r="B70" s="52"/>
      <c r="C70" s="111"/>
      <c r="D70" s="237"/>
      <c r="E70" s="54">
        <f t="shared" si="20"/>
        <v>0</v>
      </c>
      <c r="F70" s="142"/>
      <c r="G70" s="20">
        <f t="shared" si="6"/>
        <v>0</v>
      </c>
      <c r="H70" s="233"/>
      <c r="I70" s="111"/>
      <c r="J70" s="142"/>
      <c r="K70" s="20">
        <f t="shared" si="3"/>
        <v>0</v>
      </c>
      <c r="L70" s="168"/>
      <c r="M70" s="154"/>
      <c r="N70" s="33">
        <f t="shared" si="13"/>
        <v>0</v>
      </c>
      <c r="O70" s="237"/>
      <c r="P70" s="154"/>
      <c r="Q70" s="19">
        <f t="shared" si="2"/>
        <v>0</v>
      </c>
      <c r="R70" s="183"/>
      <c r="S70" s="113">
        <f t="shared" si="7"/>
        <v>0</v>
      </c>
      <c r="T70" s="186">
        <f t="shared" si="14"/>
        <v>0</v>
      </c>
      <c r="U70" s="41"/>
      <c r="V70" s="309"/>
    </row>
    <row r="71" spans="1:22" s="2" customFormat="1" ht="18.75" x14ac:dyDescent="0.25">
      <c r="A71" s="86" t="s">
        <v>41</v>
      </c>
      <c r="B71" s="52"/>
      <c r="C71" s="111">
        <f>3000+1000+500+500+1000</f>
        <v>6000</v>
      </c>
      <c r="D71" s="237">
        <v>6000</v>
      </c>
      <c r="E71" s="54">
        <f t="shared" si="20"/>
        <v>0</v>
      </c>
      <c r="F71" s="142"/>
      <c r="G71" s="20">
        <f t="shared" si="6"/>
        <v>0</v>
      </c>
      <c r="H71" s="233">
        <v>7200</v>
      </c>
      <c r="I71" s="111">
        <f>7200-4800</f>
        <v>2400</v>
      </c>
      <c r="J71" s="142"/>
      <c r="K71" s="20">
        <f t="shared" si="3"/>
        <v>2400</v>
      </c>
      <c r="L71" s="168"/>
      <c r="M71" s="154"/>
      <c r="N71" s="33">
        <f t="shared" si="13"/>
        <v>0</v>
      </c>
      <c r="O71" s="237"/>
      <c r="P71" s="154"/>
      <c r="Q71" s="19">
        <f t="shared" si="2"/>
        <v>0</v>
      </c>
      <c r="R71" s="183"/>
      <c r="S71" s="113">
        <f t="shared" si="7"/>
        <v>2400</v>
      </c>
      <c r="T71" s="186">
        <f t="shared" si="14"/>
        <v>2400</v>
      </c>
      <c r="U71" s="41"/>
      <c r="V71" s="310"/>
    </row>
    <row r="72" spans="1:22" s="2" customFormat="1" ht="37.5" x14ac:dyDescent="0.25">
      <c r="A72" s="83" t="s">
        <v>296</v>
      </c>
      <c r="B72" s="52"/>
      <c r="C72" s="111">
        <f>500-500</f>
        <v>0</v>
      </c>
      <c r="D72" s="237"/>
      <c r="E72" s="54">
        <f t="shared" si="20"/>
        <v>0</v>
      </c>
      <c r="F72" s="142"/>
      <c r="G72" s="20">
        <f t="shared" si="6"/>
        <v>0</v>
      </c>
      <c r="H72" s="233"/>
      <c r="I72" s="111"/>
      <c r="J72" s="142"/>
      <c r="K72" s="20">
        <f t="shared" si="3"/>
        <v>0</v>
      </c>
      <c r="L72" s="168"/>
      <c r="M72" s="154"/>
      <c r="N72" s="33">
        <f t="shared" si="13"/>
        <v>0</v>
      </c>
      <c r="O72" s="237"/>
      <c r="P72" s="154"/>
      <c r="Q72" s="19">
        <f t="shared" si="2"/>
        <v>0</v>
      </c>
      <c r="R72" s="183"/>
      <c r="S72" s="113">
        <f t="shared" si="7"/>
        <v>0</v>
      </c>
      <c r="T72" s="186">
        <f t="shared" si="14"/>
        <v>0</v>
      </c>
      <c r="U72" s="41"/>
      <c r="V72" s="310"/>
    </row>
    <row r="73" spans="1:22" s="2" customFormat="1" ht="18.75" x14ac:dyDescent="0.25">
      <c r="A73" s="99" t="s">
        <v>197</v>
      </c>
      <c r="B73" s="52"/>
      <c r="C73" s="111"/>
      <c r="D73" s="237"/>
      <c r="E73" s="54">
        <f t="shared" si="20"/>
        <v>0</v>
      </c>
      <c r="F73" s="142"/>
      <c r="G73" s="20">
        <f t="shared" si="6"/>
        <v>0</v>
      </c>
      <c r="H73" s="233"/>
      <c r="I73" s="111"/>
      <c r="J73" s="142"/>
      <c r="K73" s="20">
        <f t="shared" si="3"/>
        <v>0</v>
      </c>
      <c r="L73" s="168"/>
      <c r="M73" s="154"/>
      <c r="N73" s="33">
        <f t="shared" si="13"/>
        <v>0</v>
      </c>
      <c r="O73" s="237"/>
      <c r="P73" s="154"/>
      <c r="Q73" s="19"/>
      <c r="R73" s="183"/>
      <c r="S73" s="113">
        <f t="shared" si="7"/>
        <v>0</v>
      </c>
      <c r="T73" s="186">
        <f t="shared" si="14"/>
        <v>0</v>
      </c>
      <c r="U73" s="41"/>
      <c r="V73" s="309"/>
    </row>
    <row r="74" spans="1:22" s="2" customFormat="1" ht="18.75" x14ac:dyDescent="0.25">
      <c r="A74" s="99" t="s">
        <v>196</v>
      </c>
      <c r="B74" s="52"/>
      <c r="C74" s="111">
        <f>4000-200</f>
        <v>3800</v>
      </c>
      <c r="D74" s="237">
        <v>3800</v>
      </c>
      <c r="E74" s="54">
        <f t="shared" si="20"/>
        <v>0</v>
      </c>
      <c r="F74" s="142"/>
      <c r="G74" s="20">
        <f t="shared" si="6"/>
        <v>0</v>
      </c>
      <c r="H74" s="233"/>
      <c r="I74" s="111"/>
      <c r="J74" s="142"/>
      <c r="K74" s="20">
        <f t="shared" si="3"/>
        <v>0</v>
      </c>
      <c r="L74" s="168"/>
      <c r="M74" s="154"/>
      <c r="N74" s="33">
        <f t="shared" si="13"/>
        <v>0</v>
      </c>
      <c r="O74" s="237"/>
      <c r="P74" s="154"/>
      <c r="Q74" s="19">
        <f t="shared" si="2"/>
        <v>0</v>
      </c>
      <c r="R74" s="183"/>
      <c r="S74" s="113">
        <f t="shared" si="7"/>
        <v>0</v>
      </c>
      <c r="T74" s="186">
        <f t="shared" si="14"/>
        <v>0</v>
      </c>
      <c r="U74" s="41"/>
      <c r="V74" s="309"/>
    </row>
    <row r="75" spans="1:22" s="2" customFormat="1" ht="18.75" x14ac:dyDescent="0.25">
      <c r="A75" s="85" t="s">
        <v>193</v>
      </c>
      <c r="B75" s="52"/>
      <c r="C75" s="111">
        <f>3000-3000</f>
        <v>0</v>
      </c>
      <c r="D75" s="237"/>
      <c r="E75" s="54">
        <f t="shared" si="20"/>
        <v>0</v>
      </c>
      <c r="F75" s="142"/>
      <c r="G75" s="20">
        <f t="shared" si="6"/>
        <v>0</v>
      </c>
      <c r="H75" s="233"/>
      <c r="I75" s="111"/>
      <c r="J75" s="142"/>
      <c r="K75" s="20">
        <f t="shared" si="3"/>
        <v>0</v>
      </c>
      <c r="L75" s="168"/>
      <c r="M75" s="154"/>
      <c r="N75" s="33">
        <f t="shared" si="13"/>
        <v>0</v>
      </c>
      <c r="O75" s="237"/>
      <c r="P75" s="154"/>
      <c r="Q75" s="19">
        <f t="shared" si="2"/>
        <v>0</v>
      </c>
      <c r="R75" s="183"/>
      <c r="S75" s="113">
        <f t="shared" si="7"/>
        <v>0</v>
      </c>
      <c r="T75" s="186">
        <f t="shared" si="14"/>
        <v>0</v>
      </c>
      <c r="U75" s="41"/>
      <c r="V75" s="309"/>
    </row>
    <row r="76" spans="1:22" s="2" customFormat="1" ht="18.75" x14ac:dyDescent="0.25">
      <c r="A76" s="85" t="s">
        <v>194</v>
      </c>
      <c r="B76" s="52"/>
      <c r="C76" s="111">
        <v>2000</v>
      </c>
      <c r="D76" s="237">
        <v>2000</v>
      </c>
      <c r="E76" s="54">
        <f t="shared" si="20"/>
        <v>0</v>
      </c>
      <c r="F76" s="142"/>
      <c r="G76" s="20">
        <f t="shared" si="6"/>
        <v>0</v>
      </c>
      <c r="H76" s="233"/>
      <c r="I76" s="111"/>
      <c r="J76" s="142"/>
      <c r="K76" s="20">
        <f t="shared" ref="K76:K142" si="21">I76-J76</f>
        <v>0</v>
      </c>
      <c r="L76" s="168"/>
      <c r="M76" s="154"/>
      <c r="N76" s="33">
        <f>L76-M76</f>
        <v>0</v>
      </c>
      <c r="O76" s="237"/>
      <c r="P76" s="154"/>
      <c r="Q76" s="19">
        <f t="shared" si="2"/>
        <v>0</v>
      </c>
      <c r="R76" s="183"/>
      <c r="S76" s="113">
        <f t="shared" si="7"/>
        <v>0</v>
      </c>
      <c r="T76" s="186">
        <f t="shared" si="14"/>
        <v>0</v>
      </c>
      <c r="U76" s="41"/>
      <c r="V76" s="309"/>
    </row>
    <row r="77" spans="1:22" s="2" customFormat="1" ht="37.5" x14ac:dyDescent="0.25">
      <c r="A77" s="85" t="s">
        <v>243</v>
      </c>
      <c r="B77" s="52"/>
      <c r="C77" s="111">
        <f>500+1000</f>
        <v>1500</v>
      </c>
      <c r="D77" s="237">
        <v>1500</v>
      </c>
      <c r="E77" s="54">
        <f t="shared" si="20"/>
        <v>0</v>
      </c>
      <c r="F77" s="142"/>
      <c r="G77" s="20">
        <f t="shared" si="6"/>
        <v>0</v>
      </c>
      <c r="H77" s="233"/>
      <c r="I77" s="111"/>
      <c r="J77" s="142"/>
      <c r="K77" s="20">
        <f t="shared" si="21"/>
        <v>0</v>
      </c>
      <c r="L77" s="168"/>
      <c r="M77" s="154"/>
      <c r="N77" s="33">
        <f>L77-M77</f>
        <v>0</v>
      </c>
      <c r="O77" s="237"/>
      <c r="P77" s="154"/>
      <c r="Q77" s="19">
        <f t="shared" si="2"/>
        <v>0</v>
      </c>
      <c r="R77" s="183"/>
      <c r="S77" s="113">
        <f t="shared" si="7"/>
        <v>0</v>
      </c>
      <c r="T77" s="186">
        <f t="shared" si="14"/>
        <v>0</v>
      </c>
      <c r="U77" s="41"/>
      <c r="V77" s="309"/>
    </row>
    <row r="78" spans="1:22" s="2" customFormat="1" ht="18.75" x14ac:dyDescent="0.25">
      <c r="A78" s="85" t="s">
        <v>195</v>
      </c>
      <c r="B78" s="52"/>
      <c r="C78" s="111">
        <f>2500-2500</f>
        <v>0</v>
      </c>
      <c r="D78" s="237"/>
      <c r="E78" s="54">
        <f t="shared" si="20"/>
        <v>0</v>
      </c>
      <c r="F78" s="142"/>
      <c r="G78" s="20">
        <f t="shared" si="6"/>
        <v>0</v>
      </c>
      <c r="H78" s="233"/>
      <c r="I78" s="111"/>
      <c r="J78" s="142"/>
      <c r="K78" s="20">
        <f t="shared" si="21"/>
        <v>0</v>
      </c>
      <c r="L78" s="168"/>
      <c r="M78" s="154"/>
      <c r="N78" s="33">
        <f t="shared" si="13"/>
        <v>0</v>
      </c>
      <c r="O78" s="237"/>
      <c r="P78" s="154"/>
      <c r="Q78" s="19">
        <f t="shared" si="2"/>
        <v>0</v>
      </c>
      <c r="R78" s="183"/>
      <c r="S78" s="113">
        <f t="shared" si="7"/>
        <v>0</v>
      </c>
      <c r="T78" s="186">
        <f t="shared" si="14"/>
        <v>0</v>
      </c>
      <c r="U78" s="41"/>
      <c r="V78" s="309"/>
    </row>
    <row r="79" spans="1:22" s="2" customFormat="1" ht="18.75" x14ac:dyDescent="0.25">
      <c r="A79" s="323" t="s">
        <v>66</v>
      </c>
      <c r="B79" s="52"/>
      <c r="C79" s="111">
        <f>8111+8140-6451</f>
        <v>9800</v>
      </c>
      <c r="D79" s="237">
        <v>9800</v>
      </c>
      <c r="E79" s="54">
        <f t="shared" si="20"/>
        <v>0</v>
      </c>
      <c r="F79" s="142"/>
      <c r="G79" s="20">
        <f t="shared" si="6"/>
        <v>0</v>
      </c>
      <c r="H79" s="233">
        <v>9977</v>
      </c>
      <c r="I79" s="111">
        <v>9977</v>
      </c>
      <c r="J79" s="142"/>
      <c r="K79" s="20">
        <f t="shared" si="21"/>
        <v>9977</v>
      </c>
      <c r="L79" s="168"/>
      <c r="M79" s="154"/>
      <c r="N79" s="33">
        <f t="shared" si="13"/>
        <v>0</v>
      </c>
      <c r="O79" s="237"/>
      <c r="P79" s="154"/>
      <c r="Q79" s="19">
        <f t="shared" si="2"/>
        <v>0</v>
      </c>
      <c r="R79" s="183"/>
      <c r="S79" s="113">
        <f t="shared" si="7"/>
        <v>9977</v>
      </c>
      <c r="T79" s="186">
        <f t="shared" si="14"/>
        <v>9977</v>
      </c>
      <c r="U79" s="41"/>
      <c r="V79" s="309"/>
    </row>
    <row r="80" spans="1:22" s="2" customFormat="1" ht="18.75" x14ac:dyDescent="0.25">
      <c r="A80" s="85" t="s">
        <v>105</v>
      </c>
      <c r="B80" s="52"/>
      <c r="C80" s="111">
        <f>1000-1000</f>
        <v>0</v>
      </c>
      <c r="D80" s="237"/>
      <c r="E80" s="54">
        <f t="shared" si="20"/>
        <v>0</v>
      </c>
      <c r="F80" s="142"/>
      <c r="G80" s="20">
        <f t="shared" si="6"/>
        <v>0</v>
      </c>
      <c r="H80" s="233"/>
      <c r="I80" s="111"/>
      <c r="J80" s="142"/>
      <c r="K80" s="20">
        <f t="shared" si="21"/>
        <v>0</v>
      </c>
      <c r="L80" s="168"/>
      <c r="M80" s="154"/>
      <c r="N80" s="33">
        <f t="shared" si="13"/>
        <v>0</v>
      </c>
      <c r="O80" s="237"/>
      <c r="P80" s="154"/>
      <c r="Q80" s="19">
        <f t="shared" ref="Q80:Q161" si="22">O80-P80</f>
        <v>0</v>
      </c>
      <c r="R80" s="183"/>
      <c r="S80" s="113">
        <f t="shared" si="7"/>
        <v>0</v>
      </c>
      <c r="T80" s="186">
        <f t="shared" si="14"/>
        <v>0</v>
      </c>
      <c r="U80" s="41"/>
      <c r="V80" s="309"/>
    </row>
    <row r="81" spans="1:22" s="2" customFormat="1" ht="18.75" x14ac:dyDescent="0.25">
      <c r="A81" s="85" t="s">
        <v>294</v>
      </c>
      <c r="B81" s="52"/>
      <c r="C81" s="111"/>
      <c r="D81" s="237"/>
      <c r="E81" s="54"/>
      <c r="F81" s="142"/>
      <c r="G81" s="20"/>
      <c r="H81" s="233"/>
      <c r="I81" s="111"/>
      <c r="J81" s="142"/>
      <c r="K81" s="20"/>
      <c r="L81" s="168"/>
      <c r="M81" s="154"/>
      <c r="N81" s="33"/>
      <c r="O81" s="237"/>
      <c r="P81" s="154"/>
      <c r="Q81" s="19"/>
      <c r="R81" s="183"/>
      <c r="S81" s="113"/>
      <c r="T81" s="186"/>
      <c r="U81" s="41"/>
      <c r="V81" s="309"/>
    </row>
    <row r="82" spans="1:22" s="2" customFormat="1" ht="18.75" x14ac:dyDescent="0.25">
      <c r="A82" s="85" t="s">
        <v>295</v>
      </c>
      <c r="B82" s="52"/>
      <c r="C82" s="111"/>
      <c r="D82" s="237"/>
      <c r="E82" s="54">
        <f t="shared" si="20"/>
        <v>0</v>
      </c>
      <c r="F82" s="142"/>
      <c r="G82" s="20">
        <f t="shared" si="6"/>
        <v>0</v>
      </c>
      <c r="H82" s="233"/>
      <c r="I82" s="111"/>
      <c r="J82" s="142"/>
      <c r="K82" s="20">
        <f t="shared" si="21"/>
        <v>0</v>
      </c>
      <c r="L82" s="168"/>
      <c r="M82" s="154"/>
      <c r="N82" s="33">
        <f t="shared" si="13"/>
        <v>0</v>
      </c>
      <c r="O82" s="237"/>
      <c r="P82" s="154"/>
      <c r="Q82" s="19">
        <f t="shared" si="22"/>
        <v>0</v>
      </c>
      <c r="R82" s="183"/>
      <c r="S82" s="113">
        <f t="shared" si="7"/>
        <v>0</v>
      </c>
      <c r="T82" s="186">
        <f t="shared" si="14"/>
        <v>0</v>
      </c>
      <c r="U82" s="41"/>
      <c r="V82" s="309"/>
    </row>
    <row r="83" spans="1:22" s="2" customFormat="1" ht="37.5" x14ac:dyDescent="0.25">
      <c r="A83" s="87" t="s">
        <v>70</v>
      </c>
      <c r="B83" s="52"/>
      <c r="C83" s="111"/>
      <c r="D83" s="237"/>
      <c r="E83" s="54">
        <f t="shared" si="20"/>
        <v>0</v>
      </c>
      <c r="F83" s="142"/>
      <c r="G83" s="20">
        <f t="shared" si="6"/>
        <v>0</v>
      </c>
      <c r="H83" s="233"/>
      <c r="I83" s="111"/>
      <c r="J83" s="142"/>
      <c r="K83" s="20">
        <f t="shared" si="21"/>
        <v>0</v>
      </c>
      <c r="L83" s="168"/>
      <c r="M83" s="154"/>
      <c r="N83" s="33">
        <f t="shared" si="13"/>
        <v>0</v>
      </c>
      <c r="O83" s="237"/>
      <c r="P83" s="154"/>
      <c r="Q83" s="19">
        <f t="shared" si="22"/>
        <v>0</v>
      </c>
      <c r="R83" s="183"/>
      <c r="S83" s="113">
        <f t="shared" si="7"/>
        <v>0</v>
      </c>
      <c r="T83" s="186">
        <f t="shared" si="14"/>
        <v>0</v>
      </c>
      <c r="U83" s="41"/>
      <c r="V83" s="309"/>
    </row>
    <row r="84" spans="1:22" s="2" customFormat="1" ht="18.75" x14ac:dyDescent="0.25">
      <c r="A84" s="9" t="s">
        <v>279</v>
      </c>
      <c r="B84" s="52"/>
      <c r="C84" s="111">
        <v>17200</v>
      </c>
      <c r="D84" s="237">
        <v>17200</v>
      </c>
      <c r="E84" s="54">
        <f t="shared" si="20"/>
        <v>0</v>
      </c>
      <c r="F84" s="142"/>
      <c r="G84" s="20">
        <f t="shared" si="6"/>
        <v>0</v>
      </c>
      <c r="H84" s="233"/>
      <c r="I84" s="111"/>
      <c r="J84" s="142"/>
      <c r="K84" s="20">
        <f t="shared" si="21"/>
        <v>0</v>
      </c>
      <c r="L84" s="168"/>
      <c r="M84" s="154"/>
      <c r="N84" s="33">
        <f t="shared" si="13"/>
        <v>0</v>
      </c>
      <c r="O84" s="237"/>
      <c r="P84" s="154"/>
      <c r="Q84" s="19">
        <f t="shared" si="22"/>
        <v>0</v>
      </c>
      <c r="R84" s="183"/>
      <c r="S84" s="113">
        <f t="shared" si="7"/>
        <v>0</v>
      </c>
      <c r="T84" s="186">
        <f t="shared" si="14"/>
        <v>0</v>
      </c>
      <c r="U84" s="41"/>
      <c r="V84" s="309"/>
    </row>
    <row r="85" spans="1:22" s="2" customFormat="1" ht="18.75" x14ac:dyDescent="0.25">
      <c r="A85" s="87" t="s">
        <v>98</v>
      </c>
      <c r="B85" s="52"/>
      <c r="C85" s="111">
        <f>880-80-300</f>
        <v>500</v>
      </c>
      <c r="D85" s="237">
        <v>500</v>
      </c>
      <c r="E85" s="54">
        <f t="shared" si="20"/>
        <v>0</v>
      </c>
      <c r="F85" s="142"/>
      <c r="G85" s="20">
        <f t="shared" si="6"/>
        <v>0</v>
      </c>
      <c r="H85" s="233">
        <v>800</v>
      </c>
      <c r="I85" s="111">
        <v>800</v>
      </c>
      <c r="J85" s="142"/>
      <c r="K85" s="20">
        <f t="shared" si="21"/>
        <v>800</v>
      </c>
      <c r="L85" s="168">
        <v>8000</v>
      </c>
      <c r="M85" s="154"/>
      <c r="N85" s="33">
        <f t="shared" si="13"/>
        <v>8000</v>
      </c>
      <c r="O85" s="237">
        <v>800</v>
      </c>
      <c r="P85" s="154"/>
      <c r="Q85" s="19">
        <f t="shared" si="22"/>
        <v>800</v>
      </c>
      <c r="R85" s="183"/>
      <c r="S85" s="113">
        <f t="shared" si="7"/>
        <v>0</v>
      </c>
      <c r="T85" s="186">
        <f t="shared" si="14"/>
        <v>-7200</v>
      </c>
      <c r="U85" s="41"/>
      <c r="V85" s="309"/>
    </row>
    <row r="86" spans="1:22" s="2" customFormat="1" ht="18.75" x14ac:dyDescent="0.25">
      <c r="A86" s="87" t="s">
        <v>43</v>
      </c>
      <c r="B86" s="52"/>
      <c r="C86" s="111"/>
      <c r="D86" s="237"/>
      <c r="E86" s="54">
        <f t="shared" si="20"/>
        <v>0</v>
      </c>
      <c r="F86" s="142"/>
      <c r="G86" s="20">
        <f t="shared" si="6"/>
        <v>0</v>
      </c>
      <c r="H86" s="233"/>
      <c r="I86" s="111"/>
      <c r="J86" s="142"/>
      <c r="K86" s="20">
        <f t="shared" si="21"/>
        <v>0</v>
      </c>
      <c r="L86" s="168"/>
      <c r="M86" s="154"/>
      <c r="N86" s="33">
        <f t="shared" si="13"/>
        <v>0</v>
      </c>
      <c r="O86" s="237"/>
      <c r="P86" s="154"/>
      <c r="Q86" s="19">
        <f t="shared" si="22"/>
        <v>0</v>
      </c>
      <c r="R86" s="183"/>
      <c r="S86" s="113">
        <f t="shared" si="7"/>
        <v>0</v>
      </c>
      <c r="T86" s="186">
        <f t="shared" si="14"/>
        <v>0</v>
      </c>
      <c r="U86" s="41"/>
      <c r="V86" s="309"/>
    </row>
    <row r="87" spans="1:22" s="2" customFormat="1" ht="56.25" x14ac:dyDescent="0.25">
      <c r="A87" s="87" t="s">
        <v>202</v>
      </c>
      <c r="B87" s="52"/>
      <c r="C87" s="111">
        <f>5600+204.08</f>
        <v>5804.08</v>
      </c>
      <c r="D87" s="237">
        <v>5804.08</v>
      </c>
      <c r="E87" s="54">
        <f t="shared" si="20"/>
        <v>0</v>
      </c>
      <c r="F87" s="142"/>
      <c r="G87" s="20">
        <f t="shared" si="6"/>
        <v>0</v>
      </c>
      <c r="H87" s="233"/>
      <c r="I87" s="111"/>
      <c r="J87" s="142"/>
      <c r="K87" s="20">
        <f t="shared" si="21"/>
        <v>0</v>
      </c>
      <c r="L87" s="168"/>
      <c r="M87" s="154"/>
      <c r="N87" s="33">
        <f t="shared" si="13"/>
        <v>0</v>
      </c>
      <c r="O87" s="237"/>
      <c r="P87" s="154"/>
      <c r="Q87" s="19">
        <f t="shared" si="22"/>
        <v>0</v>
      </c>
      <c r="R87" s="183"/>
      <c r="S87" s="113">
        <f t="shared" si="7"/>
        <v>0</v>
      </c>
      <c r="T87" s="186">
        <f t="shared" si="14"/>
        <v>0</v>
      </c>
      <c r="U87" s="41"/>
      <c r="V87" s="309"/>
    </row>
    <row r="88" spans="1:22" s="2" customFormat="1" ht="18.75" x14ac:dyDescent="0.25">
      <c r="A88" s="87" t="s">
        <v>160</v>
      </c>
      <c r="B88" s="52"/>
      <c r="C88" s="111"/>
      <c r="D88" s="237"/>
      <c r="E88" s="54">
        <f t="shared" si="20"/>
        <v>0</v>
      </c>
      <c r="F88" s="142"/>
      <c r="G88" s="20">
        <f t="shared" si="6"/>
        <v>0</v>
      </c>
      <c r="H88" s="233"/>
      <c r="I88" s="111"/>
      <c r="J88" s="142"/>
      <c r="K88" s="20">
        <f t="shared" si="21"/>
        <v>0</v>
      </c>
      <c r="L88" s="168"/>
      <c r="M88" s="154"/>
      <c r="N88" s="33">
        <f t="shared" si="13"/>
        <v>0</v>
      </c>
      <c r="O88" s="237"/>
      <c r="P88" s="154"/>
      <c r="Q88" s="19">
        <f t="shared" si="22"/>
        <v>0</v>
      </c>
      <c r="R88" s="183"/>
      <c r="S88" s="113">
        <f t="shared" si="7"/>
        <v>0</v>
      </c>
      <c r="T88" s="186">
        <f t="shared" si="14"/>
        <v>0</v>
      </c>
      <c r="U88" s="41"/>
      <c r="V88" s="309"/>
    </row>
    <row r="89" spans="1:22" s="2" customFormat="1" ht="37.5" x14ac:dyDescent="0.25">
      <c r="A89" s="326" t="s">
        <v>104</v>
      </c>
      <c r="B89" s="52"/>
      <c r="C89" s="111"/>
      <c r="D89" s="237"/>
      <c r="E89" s="54">
        <f t="shared" si="20"/>
        <v>0</v>
      </c>
      <c r="F89" s="142"/>
      <c r="G89" s="20">
        <f t="shared" si="6"/>
        <v>0</v>
      </c>
      <c r="H89" s="233"/>
      <c r="I89" s="111"/>
      <c r="J89" s="142"/>
      <c r="K89" s="20">
        <f t="shared" si="21"/>
        <v>0</v>
      </c>
      <c r="L89" s="168"/>
      <c r="M89" s="154"/>
      <c r="N89" s="33">
        <f t="shared" si="13"/>
        <v>0</v>
      </c>
      <c r="O89" s="237"/>
      <c r="P89" s="154"/>
      <c r="Q89" s="19">
        <f t="shared" si="22"/>
        <v>0</v>
      </c>
      <c r="R89" s="183"/>
      <c r="S89" s="113">
        <f t="shared" si="7"/>
        <v>0</v>
      </c>
      <c r="T89" s="186">
        <f t="shared" si="14"/>
        <v>0</v>
      </c>
      <c r="U89" s="41"/>
      <c r="V89" s="309"/>
    </row>
    <row r="90" spans="1:22" s="2" customFormat="1" ht="18.75" x14ac:dyDescent="0.25">
      <c r="A90" s="325" t="s">
        <v>293</v>
      </c>
      <c r="B90" s="52"/>
      <c r="C90" s="111">
        <v>6800</v>
      </c>
      <c r="D90" s="237">
        <v>6800</v>
      </c>
      <c r="E90" s="54">
        <f t="shared" si="20"/>
        <v>0</v>
      </c>
      <c r="F90" s="142"/>
      <c r="G90" s="20">
        <f t="shared" si="6"/>
        <v>0</v>
      </c>
      <c r="H90" s="233"/>
      <c r="I90" s="111"/>
      <c r="J90" s="142"/>
      <c r="K90" s="20">
        <f t="shared" si="21"/>
        <v>0</v>
      </c>
      <c r="L90" s="168"/>
      <c r="M90" s="154"/>
      <c r="N90" s="33">
        <f t="shared" si="13"/>
        <v>0</v>
      </c>
      <c r="O90" s="237"/>
      <c r="P90" s="154"/>
      <c r="Q90" s="19">
        <f t="shared" si="22"/>
        <v>0</v>
      </c>
      <c r="R90" s="183"/>
      <c r="S90" s="113">
        <f t="shared" si="7"/>
        <v>0</v>
      </c>
      <c r="T90" s="186">
        <f t="shared" si="14"/>
        <v>0</v>
      </c>
      <c r="U90" s="41"/>
      <c r="V90" s="309"/>
    </row>
    <row r="91" spans="1:22" s="2" customFormat="1" ht="18.75" x14ac:dyDescent="0.25">
      <c r="A91" s="87" t="s">
        <v>40</v>
      </c>
      <c r="B91" s="52"/>
      <c r="C91" s="111">
        <f>800+2400-800</f>
        <v>2400</v>
      </c>
      <c r="D91" s="237">
        <v>2400</v>
      </c>
      <c r="E91" s="54">
        <f t="shared" si="20"/>
        <v>0</v>
      </c>
      <c r="F91" s="142"/>
      <c r="G91" s="20">
        <f t="shared" si="6"/>
        <v>0</v>
      </c>
      <c r="H91" s="233">
        <v>7200</v>
      </c>
      <c r="I91" s="111">
        <v>7200</v>
      </c>
      <c r="J91" s="142"/>
      <c r="K91" s="20">
        <f t="shared" si="21"/>
        <v>7200</v>
      </c>
      <c r="L91" s="168"/>
      <c r="M91" s="154"/>
      <c r="N91" s="33">
        <f t="shared" si="13"/>
        <v>0</v>
      </c>
      <c r="O91" s="237"/>
      <c r="P91" s="154"/>
      <c r="Q91" s="19">
        <f t="shared" si="22"/>
        <v>0</v>
      </c>
      <c r="R91" s="183"/>
      <c r="S91" s="113">
        <f t="shared" si="7"/>
        <v>7200</v>
      </c>
      <c r="T91" s="186">
        <f t="shared" si="14"/>
        <v>7200</v>
      </c>
      <c r="U91" s="41"/>
      <c r="V91" s="309"/>
    </row>
    <row r="92" spans="1:22" s="2" customFormat="1" ht="37.5" x14ac:dyDescent="0.25">
      <c r="A92" s="87" t="s">
        <v>236</v>
      </c>
      <c r="B92" s="52"/>
      <c r="C92" s="111">
        <v>2300</v>
      </c>
      <c r="D92" s="237">
        <v>2300</v>
      </c>
      <c r="E92" s="54">
        <f t="shared" si="20"/>
        <v>0</v>
      </c>
      <c r="F92" s="142"/>
      <c r="G92" s="20">
        <f t="shared" si="6"/>
        <v>0</v>
      </c>
      <c r="H92" s="233"/>
      <c r="I92" s="111"/>
      <c r="J92" s="142"/>
      <c r="K92" s="20">
        <f t="shared" si="21"/>
        <v>0</v>
      </c>
      <c r="L92" s="168"/>
      <c r="M92" s="154"/>
      <c r="N92" s="33">
        <f t="shared" si="13"/>
        <v>0</v>
      </c>
      <c r="O92" s="237"/>
      <c r="P92" s="154"/>
      <c r="Q92" s="19">
        <f t="shared" si="22"/>
        <v>0</v>
      </c>
      <c r="R92" s="183"/>
      <c r="S92" s="113">
        <f t="shared" si="7"/>
        <v>0</v>
      </c>
      <c r="T92" s="186">
        <f t="shared" si="14"/>
        <v>0</v>
      </c>
      <c r="U92" s="41"/>
      <c r="V92" s="309"/>
    </row>
    <row r="93" spans="1:22" s="2" customFormat="1" ht="18.75" x14ac:dyDescent="0.25">
      <c r="A93" s="87" t="s">
        <v>124</v>
      </c>
      <c r="B93" s="52"/>
      <c r="C93" s="111">
        <f>2070-2070</f>
        <v>0</v>
      </c>
      <c r="D93" s="237"/>
      <c r="E93" s="54">
        <f t="shared" si="20"/>
        <v>0</v>
      </c>
      <c r="F93" s="142"/>
      <c r="G93" s="20">
        <f t="shared" si="6"/>
        <v>0</v>
      </c>
      <c r="H93" s="233"/>
      <c r="I93" s="111"/>
      <c r="J93" s="142"/>
      <c r="K93" s="20">
        <f t="shared" si="21"/>
        <v>0</v>
      </c>
      <c r="L93" s="168"/>
      <c r="M93" s="154"/>
      <c r="N93" s="33">
        <f t="shared" si="13"/>
        <v>0</v>
      </c>
      <c r="O93" s="237"/>
      <c r="P93" s="154"/>
      <c r="Q93" s="19">
        <f t="shared" si="22"/>
        <v>0</v>
      </c>
      <c r="R93" s="183"/>
      <c r="S93" s="113">
        <f t="shared" si="7"/>
        <v>0</v>
      </c>
      <c r="T93" s="186">
        <f t="shared" si="14"/>
        <v>0</v>
      </c>
      <c r="U93" s="41"/>
      <c r="V93" s="309"/>
    </row>
    <row r="94" spans="1:22" s="2" customFormat="1" ht="75" x14ac:dyDescent="0.25">
      <c r="A94" s="87" t="s">
        <v>234</v>
      </c>
      <c r="B94" s="52"/>
      <c r="C94" s="111"/>
      <c r="D94" s="237"/>
      <c r="E94" s="54">
        <f t="shared" si="20"/>
        <v>0</v>
      </c>
      <c r="F94" s="142"/>
      <c r="G94" s="20">
        <f t="shared" si="6"/>
        <v>0</v>
      </c>
      <c r="H94" s="233"/>
      <c r="I94" s="111"/>
      <c r="J94" s="142"/>
      <c r="K94" s="20">
        <f t="shared" si="21"/>
        <v>0</v>
      </c>
      <c r="L94" s="168"/>
      <c r="M94" s="154"/>
      <c r="N94" s="33">
        <f t="shared" si="13"/>
        <v>0</v>
      </c>
      <c r="O94" s="237"/>
      <c r="P94" s="154"/>
      <c r="Q94" s="19">
        <f t="shared" si="22"/>
        <v>0</v>
      </c>
      <c r="R94" s="183"/>
      <c r="S94" s="113">
        <f t="shared" si="7"/>
        <v>0</v>
      </c>
      <c r="T94" s="186">
        <f t="shared" si="14"/>
        <v>0</v>
      </c>
      <c r="U94" s="41"/>
      <c r="V94" s="309"/>
    </row>
    <row r="95" spans="1:22" s="2" customFormat="1" ht="18.75" x14ac:dyDescent="0.25">
      <c r="A95" s="87" t="s">
        <v>286</v>
      </c>
      <c r="B95" s="52"/>
      <c r="C95" s="111"/>
      <c r="D95" s="237"/>
      <c r="E95" s="54">
        <f t="shared" si="20"/>
        <v>0</v>
      </c>
      <c r="F95" s="142"/>
      <c r="G95" s="20">
        <f t="shared" si="6"/>
        <v>0</v>
      </c>
      <c r="H95" s="233">
        <v>2232</v>
      </c>
      <c r="I95" s="111">
        <v>2232</v>
      </c>
      <c r="J95" s="142"/>
      <c r="K95" s="20">
        <f t="shared" si="21"/>
        <v>2232</v>
      </c>
      <c r="L95" s="168"/>
      <c r="M95" s="154"/>
      <c r="N95" s="33">
        <f t="shared" si="13"/>
        <v>0</v>
      </c>
      <c r="O95" s="237"/>
      <c r="P95" s="154"/>
      <c r="Q95" s="19">
        <f t="shared" si="22"/>
        <v>0</v>
      </c>
      <c r="R95" s="183"/>
      <c r="S95" s="113">
        <f t="shared" si="7"/>
        <v>2232</v>
      </c>
      <c r="T95" s="186">
        <f t="shared" si="14"/>
        <v>2232</v>
      </c>
      <c r="U95" s="41"/>
      <c r="V95" s="309"/>
    </row>
    <row r="96" spans="1:22" s="2" customFormat="1" ht="75" x14ac:dyDescent="0.25">
      <c r="A96" s="87" t="s">
        <v>242</v>
      </c>
      <c r="B96" s="52"/>
      <c r="C96" s="111"/>
      <c r="D96" s="237"/>
      <c r="E96" s="54">
        <f t="shared" si="20"/>
        <v>0</v>
      </c>
      <c r="F96" s="142"/>
      <c r="G96" s="20">
        <f t="shared" si="6"/>
        <v>0</v>
      </c>
      <c r="H96" s="233"/>
      <c r="I96" s="111"/>
      <c r="J96" s="142"/>
      <c r="K96" s="20">
        <f t="shared" si="21"/>
        <v>0</v>
      </c>
      <c r="L96" s="168"/>
      <c r="M96" s="154"/>
      <c r="N96" s="33">
        <f t="shared" si="13"/>
        <v>0</v>
      </c>
      <c r="O96" s="237"/>
      <c r="P96" s="154"/>
      <c r="Q96" s="19">
        <f t="shared" si="22"/>
        <v>0</v>
      </c>
      <c r="R96" s="183"/>
      <c r="S96" s="113">
        <f t="shared" si="7"/>
        <v>0</v>
      </c>
      <c r="T96" s="186">
        <f t="shared" si="14"/>
        <v>0</v>
      </c>
      <c r="U96" s="41"/>
      <c r="V96" s="309"/>
    </row>
    <row r="97" spans="1:22" s="2" customFormat="1" ht="18.75" x14ac:dyDescent="0.25">
      <c r="A97" s="87" t="s">
        <v>292</v>
      </c>
      <c r="B97" s="52"/>
      <c r="C97" s="111"/>
      <c r="D97" s="237"/>
      <c r="E97" s="54"/>
      <c r="F97" s="142"/>
      <c r="G97" s="20"/>
      <c r="H97" s="233"/>
      <c r="I97" s="111"/>
      <c r="J97" s="142"/>
      <c r="K97" s="20"/>
      <c r="L97" s="168"/>
      <c r="M97" s="154"/>
      <c r="N97" s="33"/>
      <c r="O97" s="237"/>
      <c r="P97" s="154"/>
      <c r="Q97" s="19"/>
      <c r="R97" s="183"/>
      <c r="S97" s="113"/>
      <c r="T97" s="186"/>
      <c r="U97" s="41"/>
      <c r="V97" s="309"/>
    </row>
    <row r="98" spans="1:22" s="2" customFormat="1" ht="18.75" x14ac:dyDescent="0.25">
      <c r="A98" s="88" t="s">
        <v>277</v>
      </c>
      <c r="B98" s="52"/>
      <c r="C98" s="111"/>
      <c r="D98" s="237"/>
      <c r="E98" s="54">
        <f t="shared" si="20"/>
        <v>0</v>
      </c>
      <c r="F98" s="142"/>
      <c r="G98" s="20">
        <f t="shared" si="6"/>
        <v>0</v>
      </c>
      <c r="H98" s="233"/>
      <c r="I98" s="111"/>
      <c r="J98" s="142"/>
      <c r="K98" s="20">
        <f t="shared" si="21"/>
        <v>0</v>
      </c>
      <c r="L98" s="168"/>
      <c r="M98" s="154"/>
      <c r="N98" s="33">
        <f t="shared" si="13"/>
        <v>0</v>
      </c>
      <c r="O98" s="237"/>
      <c r="P98" s="154"/>
      <c r="Q98" s="19"/>
      <c r="R98" s="183"/>
      <c r="S98" s="113">
        <f t="shared" si="7"/>
        <v>0</v>
      </c>
      <c r="T98" s="186">
        <f t="shared" si="14"/>
        <v>0</v>
      </c>
      <c r="U98" s="41"/>
      <c r="V98" s="309"/>
    </row>
    <row r="99" spans="1:22" s="2" customFormat="1" ht="56.25" x14ac:dyDescent="0.25">
      <c r="A99" s="196" t="s">
        <v>102</v>
      </c>
      <c r="B99" s="190">
        <v>228</v>
      </c>
      <c r="C99" s="195"/>
      <c r="D99" s="202"/>
      <c r="E99" s="191">
        <f>C99-D99</f>
        <v>0</v>
      </c>
      <c r="F99" s="195"/>
      <c r="G99" s="204">
        <f t="shared" si="6"/>
        <v>0</v>
      </c>
      <c r="H99" s="206"/>
      <c r="I99" s="195"/>
      <c r="J99" s="195"/>
      <c r="K99" s="204">
        <f t="shared" si="21"/>
        <v>0</v>
      </c>
      <c r="L99" s="202"/>
      <c r="M99" s="202"/>
      <c r="N99" s="200">
        <f t="shared" si="13"/>
        <v>0</v>
      </c>
      <c r="O99" s="202"/>
      <c r="P99" s="202"/>
      <c r="Q99" s="192">
        <f t="shared" si="22"/>
        <v>0</v>
      </c>
      <c r="R99" s="202"/>
      <c r="S99" s="202">
        <f t="shared" si="7"/>
        <v>0</v>
      </c>
      <c r="T99" s="195">
        <f t="shared" si="14"/>
        <v>0</v>
      </c>
      <c r="U99" s="231"/>
      <c r="V99" s="231"/>
    </row>
    <row r="100" spans="1:22" s="2" customFormat="1" ht="37.5" x14ac:dyDescent="0.25">
      <c r="A100" s="196" t="s">
        <v>82</v>
      </c>
      <c r="B100" s="190">
        <v>266</v>
      </c>
      <c r="C100" s="195">
        <v>1517.43</v>
      </c>
      <c r="D100" s="202">
        <v>1517.43</v>
      </c>
      <c r="E100" s="191">
        <f>C100-D100</f>
        <v>0</v>
      </c>
      <c r="F100" s="195"/>
      <c r="G100" s="204">
        <f t="shared" si="6"/>
        <v>0</v>
      </c>
      <c r="H100" s="206"/>
      <c r="I100" s="195"/>
      <c r="J100" s="195"/>
      <c r="K100" s="204">
        <f t="shared" si="21"/>
        <v>0</v>
      </c>
      <c r="L100" s="202"/>
      <c r="M100" s="202"/>
      <c r="N100" s="200">
        <f t="shared" si="13"/>
        <v>0</v>
      </c>
      <c r="O100" s="202"/>
      <c r="P100" s="202"/>
      <c r="Q100" s="192">
        <f t="shared" si="22"/>
        <v>0</v>
      </c>
      <c r="R100" s="202"/>
      <c r="S100" s="202">
        <f t="shared" si="7"/>
        <v>0</v>
      </c>
      <c r="T100" s="195">
        <f t="shared" si="14"/>
        <v>0</v>
      </c>
      <c r="U100" s="231"/>
      <c r="V100" s="231"/>
    </row>
    <row r="101" spans="1:22" ht="18.75" x14ac:dyDescent="0.25">
      <c r="A101" s="189" t="s">
        <v>76</v>
      </c>
      <c r="B101" s="205">
        <v>291</v>
      </c>
      <c r="C101" s="192">
        <f t="shared" ref="C101" si="23">SUM(C102:C106)</f>
        <v>11016</v>
      </c>
      <c r="D101" s="192">
        <v>11016</v>
      </c>
      <c r="E101" s="192">
        <f t="shared" ref="E101:R101" si="24">SUM(E102:E106)</f>
        <v>0</v>
      </c>
      <c r="F101" s="192">
        <f t="shared" si="24"/>
        <v>0</v>
      </c>
      <c r="G101" s="192">
        <f t="shared" si="24"/>
        <v>0</v>
      </c>
      <c r="H101" s="192">
        <f t="shared" si="24"/>
        <v>12676</v>
      </c>
      <c r="I101" s="192">
        <f t="shared" si="24"/>
        <v>12676</v>
      </c>
      <c r="J101" s="192">
        <f t="shared" si="24"/>
        <v>0</v>
      </c>
      <c r="K101" s="192">
        <f t="shared" si="24"/>
        <v>12676</v>
      </c>
      <c r="L101" s="192">
        <f t="shared" si="24"/>
        <v>0</v>
      </c>
      <c r="M101" s="192">
        <f t="shared" si="24"/>
        <v>0</v>
      </c>
      <c r="N101" s="192">
        <f t="shared" si="24"/>
        <v>0</v>
      </c>
      <c r="O101" s="192">
        <f t="shared" si="24"/>
        <v>3324</v>
      </c>
      <c r="P101" s="192">
        <f t="shared" si="24"/>
        <v>0</v>
      </c>
      <c r="Q101" s="192">
        <f t="shared" si="24"/>
        <v>3324</v>
      </c>
      <c r="R101" s="192">
        <f t="shared" si="24"/>
        <v>0</v>
      </c>
      <c r="S101" s="192">
        <f>SUM(S102:S106)</f>
        <v>9352</v>
      </c>
      <c r="T101" s="192">
        <f>SUM(T102:T106)</f>
        <v>12676</v>
      </c>
      <c r="U101" s="289">
        <f>SUM(U102:U106)</f>
        <v>0</v>
      </c>
      <c r="V101" s="289">
        <f>SUM(V102:V106)</f>
        <v>0</v>
      </c>
    </row>
    <row r="102" spans="1:22" ht="18.75" x14ac:dyDescent="0.25">
      <c r="A102" s="101" t="s">
        <v>264</v>
      </c>
      <c r="B102" s="61"/>
      <c r="C102" s="111">
        <v>8168</v>
      </c>
      <c r="D102" s="237">
        <v>8168</v>
      </c>
      <c r="E102" s="54">
        <f t="shared" ref="E102:E109" si="25">C102-D102</f>
        <v>0</v>
      </c>
      <c r="F102" s="142"/>
      <c r="G102" s="20">
        <f t="shared" si="6"/>
        <v>0</v>
      </c>
      <c r="H102" s="233">
        <v>9828</v>
      </c>
      <c r="I102" s="111">
        <v>9828</v>
      </c>
      <c r="J102" s="142"/>
      <c r="K102" s="20">
        <f t="shared" si="21"/>
        <v>9828</v>
      </c>
      <c r="L102" s="168"/>
      <c r="M102" s="154"/>
      <c r="N102" s="33">
        <f t="shared" si="13"/>
        <v>0</v>
      </c>
      <c r="O102" s="237">
        <f>3324</f>
        <v>3324</v>
      </c>
      <c r="P102" s="154"/>
      <c r="Q102" s="19">
        <f t="shared" si="22"/>
        <v>3324</v>
      </c>
      <c r="R102" s="183"/>
      <c r="S102" s="113">
        <f t="shared" si="7"/>
        <v>6504</v>
      </c>
      <c r="T102" s="186">
        <f t="shared" si="14"/>
        <v>9828</v>
      </c>
      <c r="U102" s="41"/>
      <c r="V102" s="309"/>
    </row>
    <row r="103" spans="1:22" ht="18.75" x14ac:dyDescent="0.25">
      <c r="A103" s="102" t="s">
        <v>265</v>
      </c>
      <c r="B103" s="61"/>
      <c r="C103" s="111">
        <v>2848</v>
      </c>
      <c r="D103" s="237">
        <v>2848</v>
      </c>
      <c r="E103" s="54">
        <f t="shared" si="25"/>
        <v>0</v>
      </c>
      <c r="F103" s="142"/>
      <c r="G103" s="20">
        <f t="shared" si="6"/>
        <v>0</v>
      </c>
      <c r="H103" s="233">
        <v>2848</v>
      </c>
      <c r="I103" s="111">
        <v>2848</v>
      </c>
      <c r="J103" s="142"/>
      <c r="K103" s="20">
        <f t="shared" si="21"/>
        <v>2848</v>
      </c>
      <c r="L103" s="168"/>
      <c r="M103" s="154"/>
      <c r="N103" s="33">
        <f t="shared" si="13"/>
        <v>0</v>
      </c>
      <c r="O103" s="237"/>
      <c r="P103" s="154"/>
      <c r="Q103" s="19">
        <f t="shared" si="22"/>
        <v>0</v>
      </c>
      <c r="R103" s="183"/>
      <c r="S103" s="113">
        <f t="shared" si="7"/>
        <v>2848</v>
      </c>
      <c r="T103" s="186">
        <f t="shared" si="14"/>
        <v>2848</v>
      </c>
      <c r="U103" s="41"/>
      <c r="V103" s="309"/>
    </row>
    <row r="104" spans="1:22" ht="37.5" x14ac:dyDescent="0.25">
      <c r="A104" s="86" t="s">
        <v>266</v>
      </c>
      <c r="B104" s="61"/>
      <c r="C104" s="111">
        <f>2108-896.95-266.54-944.51</f>
        <v>0</v>
      </c>
      <c r="D104" s="237"/>
      <c r="E104" s="54">
        <f t="shared" si="25"/>
        <v>0</v>
      </c>
      <c r="F104" s="142"/>
      <c r="G104" s="20">
        <f t="shared" si="6"/>
        <v>0</v>
      </c>
      <c r="H104" s="233"/>
      <c r="I104" s="111"/>
      <c r="J104" s="142"/>
      <c r="K104" s="20">
        <f t="shared" si="21"/>
        <v>0</v>
      </c>
      <c r="L104" s="168"/>
      <c r="M104" s="154"/>
      <c r="N104" s="33">
        <f t="shared" ref="N104:N161" si="26">L104-M104</f>
        <v>0</v>
      </c>
      <c r="O104" s="237"/>
      <c r="P104" s="154"/>
      <c r="Q104" s="19">
        <f t="shared" si="22"/>
        <v>0</v>
      </c>
      <c r="R104" s="183"/>
      <c r="S104" s="113">
        <f t="shared" si="7"/>
        <v>0</v>
      </c>
      <c r="T104" s="186">
        <f t="shared" ref="T104:T161" si="27">I104-L104</f>
        <v>0</v>
      </c>
      <c r="U104" s="41"/>
      <c r="V104" s="309"/>
    </row>
    <row r="105" spans="1:22" ht="18.75" x14ac:dyDescent="0.25">
      <c r="A105" s="86" t="s">
        <v>45</v>
      </c>
      <c r="B105" s="61"/>
      <c r="C105" s="111"/>
      <c r="D105" s="237"/>
      <c r="E105" s="54">
        <f t="shared" si="25"/>
        <v>0</v>
      </c>
      <c r="F105" s="142"/>
      <c r="G105" s="20">
        <f t="shared" si="6"/>
        <v>0</v>
      </c>
      <c r="H105" s="233"/>
      <c r="I105" s="111"/>
      <c r="J105" s="142"/>
      <c r="K105" s="20">
        <f t="shared" si="21"/>
        <v>0</v>
      </c>
      <c r="L105" s="168"/>
      <c r="M105" s="154"/>
      <c r="N105" s="33">
        <f t="shared" si="26"/>
        <v>0</v>
      </c>
      <c r="O105" s="237"/>
      <c r="P105" s="154"/>
      <c r="Q105" s="19">
        <f t="shared" si="22"/>
        <v>0</v>
      </c>
      <c r="R105" s="183"/>
      <c r="S105" s="113">
        <f t="shared" si="7"/>
        <v>0</v>
      </c>
      <c r="T105" s="186">
        <f t="shared" si="27"/>
        <v>0</v>
      </c>
      <c r="U105" s="41"/>
      <c r="V105" s="309"/>
    </row>
    <row r="106" spans="1:22" ht="18.75" x14ac:dyDescent="0.25">
      <c r="A106" s="86"/>
      <c r="B106" s="61"/>
      <c r="C106" s="111"/>
      <c r="D106" s="237"/>
      <c r="E106" s="54">
        <f t="shared" si="25"/>
        <v>0</v>
      </c>
      <c r="F106" s="142"/>
      <c r="G106" s="20">
        <f t="shared" si="6"/>
        <v>0</v>
      </c>
      <c r="H106" s="233"/>
      <c r="I106" s="111"/>
      <c r="J106" s="142"/>
      <c r="K106" s="20">
        <f t="shared" si="21"/>
        <v>0</v>
      </c>
      <c r="L106" s="168"/>
      <c r="M106" s="154"/>
      <c r="N106" s="33">
        <f t="shared" si="26"/>
        <v>0</v>
      </c>
      <c r="O106" s="237"/>
      <c r="P106" s="154"/>
      <c r="Q106" s="19">
        <f t="shared" si="22"/>
        <v>0</v>
      </c>
      <c r="R106" s="183"/>
      <c r="S106" s="113">
        <f t="shared" si="7"/>
        <v>0</v>
      </c>
      <c r="T106" s="186">
        <f t="shared" si="27"/>
        <v>0</v>
      </c>
      <c r="U106" s="41"/>
      <c r="V106" s="309"/>
    </row>
    <row r="107" spans="1:22" ht="37.5" x14ac:dyDescent="0.2">
      <c r="A107" s="208" t="s">
        <v>92</v>
      </c>
      <c r="B107" s="190">
        <v>293</v>
      </c>
      <c r="C107" s="195">
        <f t="shared" ref="C107:V107" si="28">C108</f>
        <v>0</v>
      </c>
      <c r="D107" s="195">
        <v>0</v>
      </c>
      <c r="E107" s="195">
        <f t="shared" si="28"/>
        <v>0</v>
      </c>
      <c r="F107" s="195">
        <f t="shared" si="28"/>
        <v>0</v>
      </c>
      <c r="G107" s="195">
        <f t="shared" si="28"/>
        <v>0</v>
      </c>
      <c r="H107" s="195">
        <f t="shared" si="28"/>
        <v>0</v>
      </c>
      <c r="I107" s="195">
        <f t="shared" si="28"/>
        <v>0</v>
      </c>
      <c r="J107" s="195">
        <f t="shared" si="28"/>
        <v>0</v>
      </c>
      <c r="K107" s="195">
        <f t="shared" si="28"/>
        <v>0</v>
      </c>
      <c r="L107" s="195">
        <f t="shared" si="28"/>
        <v>0</v>
      </c>
      <c r="M107" s="195">
        <f t="shared" si="28"/>
        <v>0</v>
      </c>
      <c r="N107" s="195">
        <f t="shared" si="28"/>
        <v>0</v>
      </c>
      <c r="O107" s="195">
        <f t="shared" si="28"/>
        <v>0</v>
      </c>
      <c r="P107" s="195">
        <f t="shared" si="28"/>
        <v>0</v>
      </c>
      <c r="Q107" s="195">
        <f t="shared" si="28"/>
        <v>0</v>
      </c>
      <c r="R107" s="195">
        <f t="shared" si="28"/>
        <v>0</v>
      </c>
      <c r="S107" s="195">
        <f t="shared" si="28"/>
        <v>0</v>
      </c>
      <c r="T107" s="195">
        <f t="shared" si="28"/>
        <v>0</v>
      </c>
      <c r="U107" s="231">
        <f t="shared" si="28"/>
        <v>0</v>
      </c>
      <c r="V107" s="231">
        <f t="shared" si="28"/>
        <v>0</v>
      </c>
    </row>
    <row r="108" spans="1:22" ht="18.75" x14ac:dyDescent="0.25">
      <c r="A108" s="86" t="s">
        <v>93</v>
      </c>
      <c r="B108" s="61"/>
      <c r="C108" s="111"/>
      <c r="D108" s="237"/>
      <c r="E108" s="54"/>
      <c r="F108" s="142"/>
      <c r="G108" s="20"/>
      <c r="H108" s="125"/>
      <c r="I108" s="111"/>
      <c r="J108" s="142"/>
      <c r="K108" s="20">
        <f t="shared" si="21"/>
        <v>0</v>
      </c>
      <c r="L108" s="168"/>
      <c r="M108" s="154"/>
      <c r="N108" s="33">
        <f t="shared" si="26"/>
        <v>0</v>
      </c>
      <c r="O108" s="237"/>
      <c r="P108" s="154"/>
      <c r="Q108" s="19">
        <f t="shared" si="22"/>
        <v>0</v>
      </c>
      <c r="R108" s="183"/>
      <c r="S108" s="113">
        <f t="shared" si="7"/>
        <v>0</v>
      </c>
      <c r="T108" s="186">
        <f t="shared" si="27"/>
        <v>0</v>
      </c>
      <c r="U108" s="41"/>
      <c r="V108" s="309"/>
    </row>
    <row r="109" spans="1:22" ht="18.75" x14ac:dyDescent="0.25">
      <c r="A109" s="208" t="s">
        <v>75</v>
      </c>
      <c r="B109" s="205">
        <v>295</v>
      </c>
      <c r="C109" s="195"/>
      <c r="D109" s="202"/>
      <c r="E109" s="191">
        <f t="shared" si="25"/>
        <v>0</v>
      </c>
      <c r="F109" s="195"/>
      <c r="G109" s="204">
        <f t="shared" si="6"/>
        <v>0</v>
      </c>
      <c r="H109" s="195"/>
      <c r="I109" s="195"/>
      <c r="J109" s="195"/>
      <c r="K109" s="204">
        <f t="shared" si="21"/>
        <v>0</v>
      </c>
      <c r="L109" s="202"/>
      <c r="M109" s="202"/>
      <c r="N109" s="200">
        <f t="shared" si="26"/>
        <v>0</v>
      </c>
      <c r="O109" s="202"/>
      <c r="P109" s="202"/>
      <c r="Q109" s="192">
        <f t="shared" si="22"/>
        <v>0</v>
      </c>
      <c r="R109" s="202"/>
      <c r="S109" s="202">
        <f t="shared" si="7"/>
        <v>0</v>
      </c>
      <c r="T109" s="195">
        <f t="shared" si="27"/>
        <v>0</v>
      </c>
      <c r="U109" s="231"/>
      <c r="V109" s="231"/>
    </row>
    <row r="110" spans="1:22" ht="18.75" x14ac:dyDescent="0.2">
      <c r="A110" s="208" t="s">
        <v>24</v>
      </c>
      <c r="B110" s="190">
        <v>310</v>
      </c>
      <c r="C110" s="192">
        <f t="shared" ref="C110" si="29">SUM(C111:C133)</f>
        <v>22227</v>
      </c>
      <c r="D110" s="192">
        <v>22227</v>
      </c>
      <c r="E110" s="192">
        <f t="shared" ref="E110:V110" si="30">SUM(E111:E133)</f>
        <v>0</v>
      </c>
      <c r="F110" s="192">
        <f t="shared" si="30"/>
        <v>0</v>
      </c>
      <c r="G110" s="192">
        <f t="shared" si="30"/>
        <v>0</v>
      </c>
      <c r="H110" s="192">
        <f t="shared" si="30"/>
        <v>41450</v>
      </c>
      <c r="I110" s="192">
        <f t="shared" si="30"/>
        <v>41450</v>
      </c>
      <c r="J110" s="192">
        <f t="shared" si="30"/>
        <v>0</v>
      </c>
      <c r="K110" s="192">
        <f t="shared" si="30"/>
        <v>41450</v>
      </c>
      <c r="L110" s="192">
        <f t="shared" si="30"/>
        <v>0</v>
      </c>
      <c r="M110" s="192">
        <f t="shared" si="30"/>
        <v>0</v>
      </c>
      <c r="N110" s="192">
        <f t="shared" si="30"/>
        <v>0</v>
      </c>
      <c r="O110" s="192">
        <f t="shared" si="30"/>
        <v>0</v>
      </c>
      <c r="P110" s="192">
        <f t="shared" si="30"/>
        <v>0</v>
      </c>
      <c r="Q110" s="192">
        <f t="shared" si="30"/>
        <v>0</v>
      </c>
      <c r="R110" s="192">
        <f t="shared" si="30"/>
        <v>0</v>
      </c>
      <c r="S110" s="192">
        <f t="shared" si="30"/>
        <v>41450</v>
      </c>
      <c r="T110" s="192">
        <f t="shared" si="30"/>
        <v>41450</v>
      </c>
      <c r="U110" s="289">
        <f t="shared" si="30"/>
        <v>0</v>
      </c>
      <c r="V110" s="289">
        <f t="shared" si="30"/>
        <v>0</v>
      </c>
    </row>
    <row r="111" spans="1:22" ht="18.75" x14ac:dyDescent="0.2">
      <c r="A111" s="86" t="s">
        <v>115</v>
      </c>
      <c r="B111" s="52"/>
      <c r="C111" s="111"/>
      <c r="D111" s="237"/>
      <c r="E111" s="54">
        <f t="shared" ref="E111:E137" si="31">C111-D111</f>
        <v>0</v>
      </c>
      <c r="F111" s="142"/>
      <c r="G111" s="20">
        <f t="shared" si="6"/>
        <v>0</v>
      </c>
      <c r="H111" s="233"/>
      <c r="I111" s="111"/>
      <c r="J111" s="142"/>
      <c r="K111" s="20">
        <f t="shared" si="21"/>
        <v>0</v>
      </c>
      <c r="L111" s="168"/>
      <c r="M111" s="154"/>
      <c r="N111" s="33">
        <f t="shared" si="26"/>
        <v>0</v>
      </c>
      <c r="O111" s="237"/>
      <c r="P111" s="154"/>
      <c r="Q111" s="19">
        <f t="shared" si="22"/>
        <v>0</v>
      </c>
      <c r="R111" s="183"/>
      <c r="S111" s="113">
        <f t="shared" si="7"/>
        <v>0</v>
      </c>
      <c r="T111" s="186">
        <f t="shared" si="27"/>
        <v>0</v>
      </c>
      <c r="U111" s="41"/>
      <c r="V111" s="309"/>
    </row>
    <row r="112" spans="1:22" ht="18.75" x14ac:dyDescent="0.2">
      <c r="A112" s="86" t="s">
        <v>298</v>
      </c>
      <c r="B112" s="52"/>
      <c r="C112" s="111"/>
      <c r="D112" s="237"/>
      <c r="E112" s="54">
        <f t="shared" si="31"/>
        <v>0</v>
      </c>
      <c r="F112" s="142"/>
      <c r="G112" s="20">
        <f t="shared" si="6"/>
        <v>0</v>
      </c>
      <c r="H112" s="233">
        <v>28000</v>
      </c>
      <c r="I112" s="111">
        <v>28000</v>
      </c>
      <c r="J112" s="142"/>
      <c r="K112" s="20">
        <f t="shared" si="21"/>
        <v>28000</v>
      </c>
      <c r="L112" s="168"/>
      <c r="M112" s="154"/>
      <c r="N112" s="33">
        <f t="shared" si="26"/>
        <v>0</v>
      </c>
      <c r="O112" s="237"/>
      <c r="P112" s="154"/>
      <c r="Q112" s="19">
        <f t="shared" si="22"/>
        <v>0</v>
      </c>
      <c r="R112" s="183"/>
      <c r="S112" s="113">
        <f t="shared" si="7"/>
        <v>28000</v>
      </c>
      <c r="T112" s="186">
        <f t="shared" si="27"/>
        <v>28000</v>
      </c>
      <c r="U112" s="41"/>
      <c r="V112" s="309"/>
    </row>
    <row r="113" spans="1:22" ht="37.5" x14ac:dyDescent="0.2">
      <c r="A113" s="86" t="s">
        <v>71</v>
      </c>
      <c r="B113" s="52"/>
      <c r="C113" s="111">
        <v>4250</v>
      </c>
      <c r="D113" s="237">
        <v>4250</v>
      </c>
      <c r="E113" s="54">
        <f t="shared" si="31"/>
        <v>0</v>
      </c>
      <c r="F113" s="142"/>
      <c r="G113" s="20">
        <f t="shared" si="6"/>
        <v>0</v>
      </c>
      <c r="H113" s="233"/>
      <c r="I113" s="111"/>
      <c r="J113" s="142"/>
      <c r="K113" s="20">
        <f t="shared" si="21"/>
        <v>0</v>
      </c>
      <c r="L113" s="168"/>
      <c r="M113" s="154"/>
      <c r="N113" s="33">
        <f t="shared" si="26"/>
        <v>0</v>
      </c>
      <c r="O113" s="237"/>
      <c r="P113" s="154"/>
      <c r="Q113" s="19">
        <f t="shared" si="22"/>
        <v>0</v>
      </c>
      <c r="R113" s="183"/>
      <c r="S113" s="113">
        <f t="shared" ref="S113:S142" si="32">I113-O113-R113</f>
        <v>0</v>
      </c>
      <c r="T113" s="186">
        <f t="shared" si="27"/>
        <v>0</v>
      </c>
      <c r="U113" s="41"/>
      <c r="V113" s="309"/>
    </row>
    <row r="114" spans="1:22" ht="18.75" x14ac:dyDescent="0.2">
      <c r="A114" s="86" t="s">
        <v>65</v>
      </c>
      <c r="B114" s="52"/>
      <c r="C114" s="111"/>
      <c r="D114" s="237"/>
      <c r="E114" s="54">
        <f t="shared" si="31"/>
        <v>0</v>
      </c>
      <c r="F114" s="142"/>
      <c r="G114" s="20">
        <f t="shared" si="6"/>
        <v>0</v>
      </c>
      <c r="H114" s="233"/>
      <c r="I114" s="111"/>
      <c r="J114" s="142"/>
      <c r="K114" s="20">
        <f t="shared" si="21"/>
        <v>0</v>
      </c>
      <c r="L114" s="168"/>
      <c r="M114" s="154"/>
      <c r="N114" s="33">
        <f t="shared" si="26"/>
        <v>0</v>
      </c>
      <c r="O114" s="237"/>
      <c r="P114" s="154"/>
      <c r="Q114" s="19">
        <f t="shared" si="22"/>
        <v>0</v>
      </c>
      <c r="R114" s="183"/>
      <c r="S114" s="113">
        <f t="shared" si="32"/>
        <v>0</v>
      </c>
      <c r="T114" s="186">
        <f t="shared" si="27"/>
        <v>0</v>
      </c>
      <c r="U114" s="41"/>
      <c r="V114" s="309"/>
    </row>
    <row r="115" spans="1:22" ht="18.75" x14ac:dyDescent="0.2">
      <c r="A115" s="86" t="s">
        <v>118</v>
      </c>
      <c r="B115" s="52"/>
      <c r="C115" s="111"/>
      <c r="D115" s="237"/>
      <c r="E115" s="54">
        <f t="shared" si="31"/>
        <v>0</v>
      </c>
      <c r="F115" s="142"/>
      <c r="G115" s="20">
        <f t="shared" si="6"/>
        <v>0</v>
      </c>
      <c r="H115" s="233"/>
      <c r="I115" s="111"/>
      <c r="J115" s="142"/>
      <c r="K115" s="20">
        <f t="shared" si="21"/>
        <v>0</v>
      </c>
      <c r="L115" s="168"/>
      <c r="M115" s="154"/>
      <c r="N115" s="33">
        <f t="shared" si="26"/>
        <v>0</v>
      </c>
      <c r="O115" s="237"/>
      <c r="P115" s="154"/>
      <c r="Q115" s="19">
        <f t="shared" si="22"/>
        <v>0</v>
      </c>
      <c r="R115" s="183"/>
      <c r="S115" s="113">
        <f t="shared" si="32"/>
        <v>0</v>
      </c>
      <c r="T115" s="186">
        <f t="shared" si="27"/>
        <v>0</v>
      </c>
      <c r="U115" s="41"/>
      <c r="V115" s="309"/>
    </row>
    <row r="116" spans="1:22" ht="18.75" x14ac:dyDescent="0.2">
      <c r="A116" s="97" t="s">
        <v>162</v>
      </c>
      <c r="B116" s="52"/>
      <c r="C116" s="111"/>
      <c r="D116" s="237"/>
      <c r="E116" s="54">
        <f t="shared" si="31"/>
        <v>0</v>
      </c>
      <c r="F116" s="142"/>
      <c r="G116" s="20">
        <f t="shared" si="6"/>
        <v>0</v>
      </c>
      <c r="H116" s="233">
        <v>5000</v>
      </c>
      <c r="I116" s="111">
        <v>5000</v>
      </c>
      <c r="J116" s="142"/>
      <c r="K116" s="20">
        <f t="shared" si="21"/>
        <v>5000</v>
      </c>
      <c r="L116" s="168"/>
      <c r="M116" s="154"/>
      <c r="N116" s="33">
        <f t="shared" si="26"/>
        <v>0</v>
      </c>
      <c r="O116" s="237"/>
      <c r="P116" s="154"/>
      <c r="Q116" s="19">
        <f t="shared" si="22"/>
        <v>0</v>
      </c>
      <c r="R116" s="183"/>
      <c r="S116" s="113">
        <f t="shared" si="32"/>
        <v>5000</v>
      </c>
      <c r="T116" s="186">
        <f t="shared" si="27"/>
        <v>5000</v>
      </c>
      <c r="U116" s="41"/>
      <c r="V116" s="309"/>
    </row>
    <row r="117" spans="1:22" ht="18.75" x14ac:dyDescent="0.2">
      <c r="A117" s="86" t="s">
        <v>211</v>
      </c>
      <c r="B117" s="60"/>
      <c r="C117" s="111"/>
      <c r="D117" s="237"/>
      <c r="E117" s="54">
        <f t="shared" si="31"/>
        <v>0</v>
      </c>
      <c r="F117" s="142"/>
      <c r="G117" s="20">
        <f t="shared" si="6"/>
        <v>0</v>
      </c>
      <c r="H117" s="233"/>
      <c r="I117" s="111"/>
      <c r="J117" s="142"/>
      <c r="K117" s="20">
        <f t="shared" si="21"/>
        <v>0</v>
      </c>
      <c r="L117" s="168"/>
      <c r="M117" s="154"/>
      <c r="N117" s="33">
        <f t="shared" si="26"/>
        <v>0</v>
      </c>
      <c r="O117" s="237"/>
      <c r="P117" s="154"/>
      <c r="Q117" s="19">
        <f t="shared" si="22"/>
        <v>0</v>
      </c>
      <c r="R117" s="183"/>
      <c r="S117" s="113">
        <f t="shared" si="32"/>
        <v>0</v>
      </c>
      <c r="T117" s="186">
        <f t="shared" si="27"/>
        <v>0</v>
      </c>
      <c r="U117" s="41"/>
      <c r="V117" s="309"/>
    </row>
    <row r="118" spans="1:22" ht="18.75" x14ac:dyDescent="0.2">
      <c r="A118" s="97" t="s">
        <v>161</v>
      </c>
      <c r="B118" s="60"/>
      <c r="C118" s="111"/>
      <c r="D118" s="237"/>
      <c r="E118" s="54">
        <f t="shared" si="31"/>
        <v>0</v>
      </c>
      <c r="F118" s="142"/>
      <c r="G118" s="20">
        <f t="shared" si="6"/>
        <v>0</v>
      </c>
      <c r="H118" s="233"/>
      <c r="I118" s="111"/>
      <c r="J118" s="142"/>
      <c r="K118" s="20">
        <f t="shared" si="21"/>
        <v>0</v>
      </c>
      <c r="L118" s="168"/>
      <c r="M118" s="154"/>
      <c r="N118" s="33">
        <f t="shared" si="26"/>
        <v>0</v>
      </c>
      <c r="O118" s="237"/>
      <c r="P118" s="154"/>
      <c r="Q118" s="19">
        <f t="shared" si="22"/>
        <v>0</v>
      </c>
      <c r="R118" s="183"/>
      <c r="S118" s="113">
        <f t="shared" si="32"/>
        <v>0</v>
      </c>
      <c r="T118" s="186">
        <f t="shared" si="27"/>
        <v>0</v>
      </c>
      <c r="U118" s="41"/>
      <c r="V118" s="309"/>
    </row>
    <row r="119" spans="1:22" ht="18.75" x14ac:dyDescent="0.2">
      <c r="A119" s="86" t="s">
        <v>127</v>
      </c>
      <c r="B119" s="60"/>
      <c r="C119" s="111"/>
      <c r="D119" s="237"/>
      <c r="E119" s="54">
        <f t="shared" si="31"/>
        <v>0</v>
      </c>
      <c r="F119" s="142"/>
      <c r="G119" s="20">
        <f t="shared" si="6"/>
        <v>0</v>
      </c>
      <c r="H119" s="233"/>
      <c r="I119" s="111"/>
      <c r="J119" s="142"/>
      <c r="K119" s="20">
        <f t="shared" si="21"/>
        <v>0</v>
      </c>
      <c r="L119" s="168"/>
      <c r="M119" s="154"/>
      <c r="N119" s="33">
        <f t="shared" si="26"/>
        <v>0</v>
      </c>
      <c r="O119" s="237"/>
      <c r="P119" s="154"/>
      <c r="Q119" s="19">
        <f t="shared" si="22"/>
        <v>0</v>
      </c>
      <c r="R119" s="183"/>
      <c r="S119" s="113">
        <f t="shared" si="32"/>
        <v>0</v>
      </c>
      <c r="T119" s="186">
        <f t="shared" si="27"/>
        <v>0</v>
      </c>
      <c r="U119" s="41"/>
      <c r="V119" s="309"/>
    </row>
    <row r="120" spans="1:22" ht="18.75" x14ac:dyDescent="0.2">
      <c r="A120" s="103" t="s">
        <v>149</v>
      </c>
      <c r="B120" s="60"/>
      <c r="C120" s="111"/>
      <c r="D120" s="237"/>
      <c r="E120" s="54">
        <f t="shared" si="31"/>
        <v>0</v>
      </c>
      <c r="F120" s="142"/>
      <c r="G120" s="20">
        <f t="shared" si="6"/>
        <v>0</v>
      </c>
      <c r="H120" s="233"/>
      <c r="I120" s="111"/>
      <c r="J120" s="142"/>
      <c r="K120" s="20">
        <f t="shared" si="21"/>
        <v>0</v>
      </c>
      <c r="L120" s="168"/>
      <c r="M120" s="154"/>
      <c r="N120" s="33">
        <f t="shared" si="26"/>
        <v>0</v>
      </c>
      <c r="O120" s="237"/>
      <c r="P120" s="154"/>
      <c r="Q120" s="19">
        <f t="shared" si="22"/>
        <v>0</v>
      </c>
      <c r="R120" s="183"/>
      <c r="S120" s="113">
        <f t="shared" si="32"/>
        <v>0</v>
      </c>
      <c r="T120" s="186">
        <f t="shared" si="27"/>
        <v>0</v>
      </c>
      <c r="U120" s="41"/>
      <c r="V120" s="309"/>
    </row>
    <row r="121" spans="1:22" ht="18.75" x14ac:dyDescent="0.2">
      <c r="A121" s="103" t="s">
        <v>163</v>
      </c>
      <c r="B121" s="60"/>
      <c r="C121" s="111"/>
      <c r="D121" s="237"/>
      <c r="E121" s="54">
        <f t="shared" si="31"/>
        <v>0</v>
      </c>
      <c r="F121" s="142"/>
      <c r="G121" s="20">
        <f t="shared" si="6"/>
        <v>0</v>
      </c>
      <c r="H121" s="233"/>
      <c r="I121" s="111"/>
      <c r="J121" s="142"/>
      <c r="K121" s="20">
        <f t="shared" si="21"/>
        <v>0</v>
      </c>
      <c r="L121" s="168"/>
      <c r="M121" s="154"/>
      <c r="N121" s="33">
        <f t="shared" si="26"/>
        <v>0</v>
      </c>
      <c r="O121" s="237"/>
      <c r="P121" s="154"/>
      <c r="Q121" s="19">
        <f t="shared" si="22"/>
        <v>0</v>
      </c>
      <c r="R121" s="183"/>
      <c r="S121" s="113">
        <f t="shared" si="32"/>
        <v>0</v>
      </c>
      <c r="T121" s="186">
        <f t="shared" si="27"/>
        <v>0</v>
      </c>
      <c r="U121" s="41"/>
      <c r="V121" s="309"/>
    </row>
    <row r="122" spans="1:22" ht="18.75" x14ac:dyDescent="0.2">
      <c r="A122" s="103" t="s">
        <v>164</v>
      </c>
      <c r="B122" s="60"/>
      <c r="C122" s="111"/>
      <c r="D122" s="237"/>
      <c r="E122" s="54">
        <f t="shared" si="31"/>
        <v>0</v>
      </c>
      <c r="F122" s="142"/>
      <c r="G122" s="20">
        <f t="shared" si="6"/>
        <v>0</v>
      </c>
      <c r="H122" s="233"/>
      <c r="I122" s="111"/>
      <c r="J122" s="142"/>
      <c r="K122" s="20">
        <f t="shared" si="21"/>
        <v>0</v>
      </c>
      <c r="L122" s="168"/>
      <c r="M122" s="154"/>
      <c r="N122" s="33">
        <f t="shared" si="26"/>
        <v>0</v>
      </c>
      <c r="O122" s="237"/>
      <c r="P122" s="154"/>
      <c r="Q122" s="19">
        <f t="shared" si="22"/>
        <v>0</v>
      </c>
      <c r="R122" s="183"/>
      <c r="S122" s="113">
        <f t="shared" si="32"/>
        <v>0</v>
      </c>
      <c r="T122" s="186">
        <f t="shared" si="27"/>
        <v>0</v>
      </c>
      <c r="U122" s="41"/>
      <c r="V122" s="309"/>
    </row>
    <row r="123" spans="1:22" ht="18.75" x14ac:dyDescent="0.2">
      <c r="A123" s="103" t="s">
        <v>171</v>
      </c>
      <c r="B123" s="60"/>
      <c r="C123" s="111"/>
      <c r="D123" s="237"/>
      <c r="E123" s="54">
        <f t="shared" si="31"/>
        <v>0</v>
      </c>
      <c r="F123" s="142"/>
      <c r="G123" s="20">
        <f t="shared" si="6"/>
        <v>0</v>
      </c>
      <c r="H123" s="233"/>
      <c r="I123" s="111"/>
      <c r="J123" s="142"/>
      <c r="K123" s="20">
        <f t="shared" si="21"/>
        <v>0</v>
      </c>
      <c r="L123" s="168"/>
      <c r="M123" s="154"/>
      <c r="N123" s="33">
        <f t="shared" si="26"/>
        <v>0</v>
      </c>
      <c r="O123" s="237"/>
      <c r="P123" s="154"/>
      <c r="Q123" s="19">
        <f t="shared" si="22"/>
        <v>0</v>
      </c>
      <c r="R123" s="183"/>
      <c r="S123" s="113">
        <f t="shared" si="32"/>
        <v>0</v>
      </c>
      <c r="T123" s="186">
        <f t="shared" si="27"/>
        <v>0</v>
      </c>
      <c r="U123" s="41"/>
      <c r="V123" s="309"/>
    </row>
    <row r="124" spans="1:22" ht="18.75" x14ac:dyDescent="0.2">
      <c r="A124" s="103" t="s">
        <v>190</v>
      </c>
      <c r="B124" s="60"/>
      <c r="C124" s="111"/>
      <c r="D124" s="237"/>
      <c r="E124" s="54">
        <f t="shared" si="31"/>
        <v>0</v>
      </c>
      <c r="F124" s="142"/>
      <c r="G124" s="20">
        <f t="shared" si="6"/>
        <v>0</v>
      </c>
      <c r="H124" s="233"/>
      <c r="I124" s="111"/>
      <c r="J124" s="142"/>
      <c r="K124" s="20">
        <f t="shared" si="21"/>
        <v>0</v>
      </c>
      <c r="L124" s="168"/>
      <c r="M124" s="154"/>
      <c r="N124" s="33">
        <f t="shared" si="26"/>
        <v>0</v>
      </c>
      <c r="O124" s="237"/>
      <c r="P124" s="154"/>
      <c r="Q124" s="19">
        <f t="shared" si="22"/>
        <v>0</v>
      </c>
      <c r="R124" s="183"/>
      <c r="S124" s="113">
        <f t="shared" si="32"/>
        <v>0</v>
      </c>
      <c r="T124" s="186">
        <f t="shared" si="27"/>
        <v>0</v>
      </c>
      <c r="U124" s="41"/>
      <c r="V124" s="309"/>
    </row>
    <row r="125" spans="1:22" ht="18.75" x14ac:dyDescent="0.2">
      <c r="A125" s="103" t="s">
        <v>205</v>
      </c>
      <c r="B125" s="60"/>
      <c r="C125" s="111"/>
      <c r="D125" s="237"/>
      <c r="E125" s="54">
        <f t="shared" si="31"/>
        <v>0</v>
      </c>
      <c r="F125" s="142"/>
      <c r="G125" s="20">
        <f t="shared" si="6"/>
        <v>0</v>
      </c>
      <c r="H125" s="233"/>
      <c r="I125" s="111"/>
      <c r="J125" s="142"/>
      <c r="K125" s="20">
        <f t="shared" si="21"/>
        <v>0</v>
      </c>
      <c r="L125" s="168"/>
      <c r="M125" s="154"/>
      <c r="N125" s="33">
        <f t="shared" si="26"/>
        <v>0</v>
      </c>
      <c r="O125" s="237"/>
      <c r="P125" s="154"/>
      <c r="Q125" s="19">
        <f t="shared" si="22"/>
        <v>0</v>
      </c>
      <c r="R125" s="183"/>
      <c r="S125" s="113">
        <f t="shared" si="32"/>
        <v>0</v>
      </c>
      <c r="T125" s="186">
        <f t="shared" si="27"/>
        <v>0</v>
      </c>
      <c r="U125" s="41"/>
      <c r="V125" s="309"/>
    </row>
    <row r="126" spans="1:22" ht="18.75" x14ac:dyDescent="0.2">
      <c r="A126" s="103" t="s">
        <v>206</v>
      </c>
      <c r="B126" s="60"/>
      <c r="C126" s="111"/>
      <c r="D126" s="237"/>
      <c r="E126" s="54">
        <f t="shared" si="31"/>
        <v>0</v>
      </c>
      <c r="F126" s="142"/>
      <c r="G126" s="20">
        <f t="shared" si="6"/>
        <v>0</v>
      </c>
      <c r="H126" s="233">
        <v>8450</v>
      </c>
      <c r="I126" s="111">
        <v>8450</v>
      </c>
      <c r="J126" s="142"/>
      <c r="K126" s="20">
        <f t="shared" si="21"/>
        <v>8450</v>
      </c>
      <c r="L126" s="168"/>
      <c r="M126" s="154"/>
      <c r="N126" s="33">
        <f t="shared" si="26"/>
        <v>0</v>
      </c>
      <c r="O126" s="237"/>
      <c r="P126" s="154"/>
      <c r="Q126" s="19">
        <f t="shared" si="22"/>
        <v>0</v>
      </c>
      <c r="R126" s="183"/>
      <c r="S126" s="113">
        <f t="shared" si="32"/>
        <v>8450</v>
      </c>
      <c r="T126" s="186">
        <f t="shared" si="27"/>
        <v>8450</v>
      </c>
      <c r="U126" s="41"/>
      <c r="V126" s="309"/>
    </row>
    <row r="127" spans="1:22" ht="18.75" x14ac:dyDescent="0.2">
      <c r="A127" s="103" t="s">
        <v>208</v>
      </c>
      <c r="B127" s="60"/>
      <c r="C127" s="111"/>
      <c r="D127" s="237"/>
      <c r="E127" s="54">
        <f t="shared" si="31"/>
        <v>0</v>
      </c>
      <c r="F127" s="142"/>
      <c r="G127" s="20">
        <f t="shared" si="6"/>
        <v>0</v>
      </c>
      <c r="H127" s="233"/>
      <c r="I127" s="111"/>
      <c r="J127" s="142"/>
      <c r="K127" s="20">
        <f t="shared" si="21"/>
        <v>0</v>
      </c>
      <c r="L127" s="168"/>
      <c r="M127" s="154"/>
      <c r="N127" s="33">
        <f t="shared" si="26"/>
        <v>0</v>
      </c>
      <c r="O127" s="237"/>
      <c r="P127" s="154"/>
      <c r="Q127" s="19">
        <f t="shared" si="22"/>
        <v>0</v>
      </c>
      <c r="R127" s="183"/>
      <c r="S127" s="113">
        <f t="shared" si="32"/>
        <v>0</v>
      </c>
      <c r="T127" s="186">
        <f t="shared" si="27"/>
        <v>0</v>
      </c>
      <c r="U127" s="41"/>
      <c r="V127" s="309"/>
    </row>
    <row r="128" spans="1:22" ht="18.75" x14ac:dyDescent="0.2">
      <c r="A128" s="103" t="s">
        <v>209</v>
      </c>
      <c r="B128" s="60"/>
      <c r="C128" s="111">
        <v>17977</v>
      </c>
      <c r="D128" s="237">
        <v>17977</v>
      </c>
      <c r="E128" s="54">
        <f t="shared" si="31"/>
        <v>0</v>
      </c>
      <c r="F128" s="142"/>
      <c r="G128" s="20">
        <f t="shared" si="6"/>
        <v>0</v>
      </c>
      <c r="H128" s="233"/>
      <c r="I128" s="111"/>
      <c r="J128" s="142"/>
      <c r="K128" s="20">
        <f t="shared" si="21"/>
        <v>0</v>
      </c>
      <c r="L128" s="168"/>
      <c r="M128" s="154"/>
      <c r="N128" s="33">
        <f t="shared" si="26"/>
        <v>0</v>
      </c>
      <c r="O128" s="237"/>
      <c r="P128" s="154"/>
      <c r="Q128" s="19">
        <f t="shared" si="22"/>
        <v>0</v>
      </c>
      <c r="R128" s="183"/>
      <c r="S128" s="113">
        <f t="shared" si="32"/>
        <v>0</v>
      </c>
      <c r="T128" s="186">
        <f t="shared" si="27"/>
        <v>0</v>
      </c>
      <c r="U128" s="41"/>
      <c r="V128" s="309"/>
    </row>
    <row r="129" spans="1:22" ht="18.75" x14ac:dyDescent="0.2">
      <c r="A129" s="103" t="s">
        <v>210</v>
      </c>
      <c r="B129" s="60"/>
      <c r="C129" s="111"/>
      <c r="D129" s="237"/>
      <c r="E129" s="54">
        <f t="shared" si="31"/>
        <v>0</v>
      </c>
      <c r="F129" s="142"/>
      <c r="G129" s="20">
        <f t="shared" si="6"/>
        <v>0</v>
      </c>
      <c r="H129" s="233"/>
      <c r="I129" s="111"/>
      <c r="J129" s="142"/>
      <c r="K129" s="20">
        <f t="shared" si="21"/>
        <v>0</v>
      </c>
      <c r="L129" s="168"/>
      <c r="M129" s="154"/>
      <c r="N129" s="33">
        <f t="shared" si="26"/>
        <v>0</v>
      </c>
      <c r="O129" s="237"/>
      <c r="P129" s="154"/>
      <c r="Q129" s="19">
        <f t="shared" si="22"/>
        <v>0</v>
      </c>
      <c r="R129" s="183"/>
      <c r="S129" s="113">
        <f t="shared" si="32"/>
        <v>0</v>
      </c>
      <c r="T129" s="186">
        <f t="shared" si="27"/>
        <v>0</v>
      </c>
      <c r="U129" s="41"/>
      <c r="V129" s="309"/>
    </row>
    <row r="130" spans="1:22" ht="18.75" x14ac:dyDescent="0.2">
      <c r="A130" s="103" t="s">
        <v>297</v>
      </c>
      <c r="B130" s="60"/>
      <c r="C130" s="111"/>
      <c r="D130" s="237"/>
      <c r="E130" s="54">
        <f t="shared" si="31"/>
        <v>0</v>
      </c>
      <c r="F130" s="142"/>
      <c r="G130" s="20">
        <f t="shared" si="6"/>
        <v>0</v>
      </c>
      <c r="H130" s="233"/>
      <c r="I130" s="111"/>
      <c r="J130" s="142"/>
      <c r="K130" s="20">
        <f t="shared" si="21"/>
        <v>0</v>
      </c>
      <c r="L130" s="168"/>
      <c r="M130" s="154"/>
      <c r="N130" s="33">
        <f t="shared" si="26"/>
        <v>0</v>
      </c>
      <c r="O130" s="237"/>
      <c r="P130" s="154"/>
      <c r="Q130" s="19">
        <f t="shared" si="22"/>
        <v>0</v>
      </c>
      <c r="R130" s="183"/>
      <c r="S130" s="113">
        <f t="shared" si="32"/>
        <v>0</v>
      </c>
      <c r="T130" s="186">
        <f t="shared" si="27"/>
        <v>0</v>
      </c>
      <c r="U130" s="41"/>
      <c r="V130" s="309"/>
    </row>
    <row r="131" spans="1:22" ht="18.75" x14ac:dyDescent="0.2">
      <c r="A131" s="103" t="s">
        <v>212</v>
      </c>
      <c r="B131" s="60"/>
      <c r="C131" s="111"/>
      <c r="D131" s="237"/>
      <c r="E131" s="54">
        <f t="shared" si="31"/>
        <v>0</v>
      </c>
      <c r="F131" s="142"/>
      <c r="G131" s="20">
        <f t="shared" si="6"/>
        <v>0</v>
      </c>
      <c r="H131" s="233"/>
      <c r="I131" s="111"/>
      <c r="J131" s="142"/>
      <c r="K131" s="20">
        <f t="shared" si="21"/>
        <v>0</v>
      </c>
      <c r="L131" s="168"/>
      <c r="M131" s="154"/>
      <c r="N131" s="33">
        <f t="shared" si="26"/>
        <v>0</v>
      </c>
      <c r="O131" s="237"/>
      <c r="P131" s="154"/>
      <c r="Q131" s="19">
        <f t="shared" si="22"/>
        <v>0</v>
      </c>
      <c r="R131" s="183"/>
      <c r="S131" s="113">
        <f t="shared" si="32"/>
        <v>0</v>
      </c>
      <c r="T131" s="186">
        <f t="shared" si="27"/>
        <v>0</v>
      </c>
      <c r="U131" s="41"/>
      <c r="V131" s="309"/>
    </row>
    <row r="132" spans="1:22" ht="18.75" x14ac:dyDescent="0.2">
      <c r="A132" s="103" t="s">
        <v>213</v>
      </c>
      <c r="B132" s="60"/>
      <c r="C132" s="111"/>
      <c r="D132" s="237"/>
      <c r="E132" s="54">
        <f t="shared" si="31"/>
        <v>0</v>
      </c>
      <c r="F132" s="142"/>
      <c r="G132" s="20">
        <f t="shared" si="6"/>
        <v>0</v>
      </c>
      <c r="H132" s="233"/>
      <c r="I132" s="111"/>
      <c r="J132" s="142"/>
      <c r="K132" s="20">
        <f t="shared" si="21"/>
        <v>0</v>
      </c>
      <c r="L132" s="168"/>
      <c r="M132" s="154"/>
      <c r="N132" s="33">
        <f t="shared" si="26"/>
        <v>0</v>
      </c>
      <c r="O132" s="237"/>
      <c r="P132" s="154"/>
      <c r="Q132" s="19">
        <f t="shared" si="22"/>
        <v>0</v>
      </c>
      <c r="R132" s="183"/>
      <c r="S132" s="113">
        <f t="shared" si="32"/>
        <v>0</v>
      </c>
      <c r="T132" s="186">
        <f t="shared" si="27"/>
        <v>0</v>
      </c>
      <c r="U132" s="41"/>
      <c r="V132" s="309"/>
    </row>
    <row r="133" spans="1:22" ht="18.75" x14ac:dyDescent="0.2">
      <c r="A133" s="103" t="s">
        <v>214</v>
      </c>
      <c r="B133" s="60"/>
      <c r="C133" s="111"/>
      <c r="D133" s="237"/>
      <c r="E133" s="54">
        <f t="shared" si="31"/>
        <v>0</v>
      </c>
      <c r="F133" s="142"/>
      <c r="G133" s="20">
        <f t="shared" si="6"/>
        <v>0</v>
      </c>
      <c r="H133" s="233"/>
      <c r="I133" s="111"/>
      <c r="J133" s="142"/>
      <c r="K133" s="20">
        <f t="shared" si="21"/>
        <v>0</v>
      </c>
      <c r="L133" s="168"/>
      <c r="M133" s="154"/>
      <c r="N133" s="33">
        <f t="shared" si="26"/>
        <v>0</v>
      </c>
      <c r="O133" s="237"/>
      <c r="P133" s="154"/>
      <c r="Q133" s="19">
        <f t="shared" si="22"/>
        <v>0</v>
      </c>
      <c r="R133" s="183"/>
      <c r="S133" s="113">
        <f t="shared" si="32"/>
        <v>0</v>
      </c>
      <c r="T133" s="186">
        <f t="shared" si="27"/>
        <v>0</v>
      </c>
      <c r="U133" s="41"/>
      <c r="V133" s="309"/>
    </row>
    <row r="134" spans="1:22" ht="37.5" x14ac:dyDescent="0.2">
      <c r="A134" s="207" t="s">
        <v>121</v>
      </c>
      <c r="B134" s="190">
        <v>341</v>
      </c>
      <c r="C134" s="195">
        <f>250-200-50</f>
        <v>0</v>
      </c>
      <c r="D134" s="202"/>
      <c r="E134" s="202">
        <f t="shared" si="31"/>
        <v>0</v>
      </c>
      <c r="F134" s="202"/>
      <c r="G134" s="202">
        <f t="shared" si="6"/>
        <v>0</v>
      </c>
      <c r="H134" s="195"/>
      <c r="I134" s="195"/>
      <c r="J134" s="195"/>
      <c r="K134" s="195"/>
      <c r="L134" s="202"/>
      <c r="M134" s="202"/>
      <c r="N134" s="200">
        <f t="shared" si="26"/>
        <v>0</v>
      </c>
      <c r="O134" s="202"/>
      <c r="P134" s="202"/>
      <c r="Q134" s="192">
        <f t="shared" si="22"/>
        <v>0</v>
      </c>
      <c r="R134" s="202"/>
      <c r="S134" s="202">
        <f t="shared" si="32"/>
        <v>0</v>
      </c>
      <c r="T134" s="195">
        <f t="shared" si="27"/>
        <v>0</v>
      </c>
      <c r="U134" s="231"/>
      <c r="V134" s="231"/>
    </row>
    <row r="135" spans="1:22" ht="18.75" x14ac:dyDescent="0.2">
      <c r="A135" s="207" t="s">
        <v>288</v>
      </c>
      <c r="B135" s="190">
        <v>342</v>
      </c>
      <c r="C135" s="195">
        <v>445508.02</v>
      </c>
      <c r="D135" s="195">
        <v>445508.02</v>
      </c>
      <c r="E135" s="202">
        <f t="shared" si="31"/>
        <v>0</v>
      </c>
      <c r="F135" s="202">
        <v>0</v>
      </c>
      <c r="G135" s="202">
        <f t="shared" si="6"/>
        <v>0</v>
      </c>
      <c r="H135" s="195">
        <f>H136+H137</f>
        <v>286770</v>
      </c>
      <c r="I135" s="195">
        <f t="shared" ref="I135:Q135" si="33">I136+I137</f>
        <v>286770</v>
      </c>
      <c r="J135" s="195">
        <f t="shared" si="33"/>
        <v>0</v>
      </c>
      <c r="K135" s="195">
        <f t="shared" si="33"/>
        <v>286770</v>
      </c>
      <c r="L135" s="195">
        <f t="shared" si="33"/>
        <v>0</v>
      </c>
      <c r="M135" s="195">
        <f t="shared" si="33"/>
        <v>0</v>
      </c>
      <c r="N135" s="195">
        <f t="shared" si="33"/>
        <v>0</v>
      </c>
      <c r="O135" s="195">
        <f t="shared" si="33"/>
        <v>45784.81</v>
      </c>
      <c r="P135" s="195">
        <f t="shared" si="33"/>
        <v>0</v>
      </c>
      <c r="Q135" s="195">
        <f t="shared" si="33"/>
        <v>45784.81</v>
      </c>
      <c r="R135" s="202"/>
      <c r="S135" s="202">
        <f>I135-O135-R135</f>
        <v>240985.19</v>
      </c>
      <c r="T135" s="195">
        <f t="shared" si="27"/>
        <v>286770</v>
      </c>
      <c r="U135" s="290"/>
      <c r="V135" s="290"/>
    </row>
    <row r="136" spans="1:22" ht="18.75" x14ac:dyDescent="0.2">
      <c r="A136" s="84" t="s">
        <v>77</v>
      </c>
      <c r="B136" s="52"/>
      <c r="C136" s="111"/>
      <c r="D136" s="237"/>
      <c r="E136" s="54">
        <f t="shared" si="31"/>
        <v>0</v>
      </c>
      <c r="F136" s="142"/>
      <c r="G136" s="20">
        <f t="shared" si="6"/>
        <v>0</v>
      </c>
      <c r="H136" s="335">
        <v>284370</v>
      </c>
      <c r="I136" s="334">
        <v>284370</v>
      </c>
      <c r="J136" s="336"/>
      <c r="K136" s="20">
        <f t="shared" si="21"/>
        <v>284370</v>
      </c>
      <c r="L136" s="337"/>
      <c r="M136" s="338"/>
      <c r="N136" s="33"/>
      <c r="O136" s="202">
        <f>45784.81</f>
        <v>45784.81</v>
      </c>
      <c r="P136" s="329"/>
      <c r="Q136" s="330">
        <f>O136-P136</f>
        <v>45784.81</v>
      </c>
      <c r="R136" s="183"/>
      <c r="S136" s="331"/>
      <c r="T136" s="328"/>
      <c r="U136" s="332"/>
      <c r="V136" s="333"/>
    </row>
    <row r="137" spans="1:22" ht="56.25" x14ac:dyDescent="0.2">
      <c r="A137" s="84" t="s">
        <v>287</v>
      </c>
      <c r="B137" s="52"/>
      <c r="C137" s="111"/>
      <c r="D137" s="237"/>
      <c r="E137" s="54">
        <f t="shared" si="31"/>
        <v>0</v>
      </c>
      <c r="F137" s="142"/>
      <c r="G137" s="20">
        <f t="shared" si="6"/>
        <v>0</v>
      </c>
      <c r="H137" s="335">
        <v>2400</v>
      </c>
      <c r="I137" s="334">
        <v>2400</v>
      </c>
      <c r="J137" s="336"/>
      <c r="K137" s="20">
        <f t="shared" si="21"/>
        <v>2400</v>
      </c>
      <c r="L137" s="337"/>
      <c r="M137" s="338"/>
      <c r="N137" s="33"/>
      <c r="O137" s="202"/>
      <c r="P137" s="329"/>
      <c r="Q137" s="330"/>
      <c r="R137" s="183"/>
      <c r="S137" s="331"/>
      <c r="T137" s="328"/>
      <c r="U137" s="332"/>
      <c r="V137" s="333"/>
    </row>
    <row r="138" spans="1:22" ht="18.75" x14ac:dyDescent="0.2">
      <c r="A138" s="207" t="s">
        <v>167</v>
      </c>
      <c r="B138" s="190">
        <v>343</v>
      </c>
      <c r="C138" s="195">
        <f t="shared" ref="C138" si="34">SUM(C139:C140)</f>
        <v>0</v>
      </c>
      <c r="D138" s="195">
        <v>0</v>
      </c>
      <c r="E138" s="195">
        <f t="shared" ref="E138:R138" si="35">SUM(E139:E140)</f>
        <v>0</v>
      </c>
      <c r="F138" s="195">
        <f t="shared" si="35"/>
        <v>0</v>
      </c>
      <c r="G138" s="195">
        <f t="shared" si="35"/>
        <v>0</v>
      </c>
      <c r="H138" s="195">
        <f t="shared" si="35"/>
        <v>182</v>
      </c>
      <c r="I138" s="195">
        <f t="shared" si="35"/>
        <v>182</v>
      </c>
      <c r="J138" s="195">
        <f t="shared" si="35"/>
        <v>0</v>
      </c>
      <c r="K138" s="195">
        <f t="shared" si="35"/>
        <v>182</v>
      </c>
      <c r="L138" s="195">
        <f t="shared" si="35"/>
        <v>0</v>
      </c>
      <c r="M138" s="195">
        <f t="shared" si="35"/>
        <v>0</v>
      </c>
      <c r="N138" s="195">
        <f t="shared" si="35"/>
        <v>0</v>
      </c>
      <c r="O138" s="195">
        <f t="shared" si="35"/>
        <v>0</v>
      </c>
      <c r="P138" s="195">
        <f t="shared" si="35"/>
        <v>0</v>
      </c>
      <c r="Q138" s="195">
        <f t="shared" si="35"/>
        <v>0</v>
      </c>
      <c r="R138" s="195">
        <f t="shared" si="35"/>
        <v>0</v>
      </c>
      <c r="S138" s="195">
        <f>SUM(S139:S140)</f>
        <v>182</v>
      </c>
      <c r="T138" s="195">
        <f>SUM(T139:T140)</f>
        <v>182</v>
      </c>
      <c r="U138" s="231">
        <f>SUM(U139:U140)</f>
        <v>0</v>
      </c>
      <c r="V138" s="231">
        <f>SUM(V139:V140)</f>
        <v>0</v>
      </c>
    </row>
    <row r="139" spans="1:22" ht="18.75" x14ac:dyDescent="0.2">
      <c r="A139" s="86" t="s">
        <v>168</v>
      </c>
      <c r="B139" s="52"/>
      <c r="C139" s="111"/>
      <c r="D139" s="237"/>
      <c r="E139" s="54">
        <f>C139-D139</f>
        <v>0</v>
      </c>
      <c r="F139" s="142"/>
      <c r="G139" s="20">
        <f>E139-F139</f>
        <v>0</v>
      </c>
      <c r="H139" s="233"/>
      <c r="I139" s="111"/>
      <c r="J139" s="142"/>
      <c r="K139" s="20">
        <f t="shared" si="21"/>
        <v>0</v>
      </c>
      <c r="L139" s="168"/>
      <c r="M139" s="154"/>
      <c r="N139" s="33">
        <f t="shared" si="26"/>
        <v>0</v>
      </c>
      <c r="O139" s="237"/>
      <c r="P139" s="154"/>
      <c r="Q139" s="19">
        <f t="shared" si="22"/>
        <v>0</v>
      </c>
      <c r="R139" s="183"/>
      <c r="S139" s="113">
        <f t="shared" si="32"/>
        <v>0</v>
      </c>
      <c r="T139" s="186">
        <f t="shared" si="27"/>
        <v>0</v>
      </c>
      <c r="U139" s="41"/>
      <c r="V139" s="309"/>
    </row>
    <row r="140" spans="1:22" ht="37.5" x14ac:dyDescent="0.2">
      <c r="A140" s="86" t="s">
        <v>166</v>
      </c>
      <c r="B140" s="52"/>
      <c r="C140" s="111"/>
      <c r="D140" s="237"/>
      <c r="E140" s="54">
        <f>C140-D140</f>
        <v>0</v>
      </c>
      <c r="F140" s="142"/>
      <c r="G140" s="20">
        <f>E140-F140</f>
        <v>0</v>
      </c>
      <c r="H140" s="233">
        <v>182</v>
      </c>
      <c r="I140" s="111">
        <v>182</v>
      </c>
      <c r="J140" s="142"/>
      <c r="K140" s="20">
        <f t="shared" si="21"/>
        <v>182</v>
      </c>
      <c r="L140" s="168"/>
      <c r="M140" s="154"/>
      <c r="N140" s="33">
        <f t="shared" si="26"/>
        <v>0</v>
      </c>
      <c r="O140" s="237"/>
      <c r="P140" s="154"/>
      <c r="Q140" s="19">
        <f t="shared" si="22"/>
        <v>0</v>
      </c>
      <c r="R140" s="183"/>
      <c r="S140" s="113">
        <f t="shared" si="32"/>
        <v>182</v>
      </c>
      <c r="T140" s="186">
        <f t="shared" si="27"/>
        <v>182</v>
      </c>
      <c r="U140" s="41"/>
      <c r="V140" s="309"/>
    </row>
    <row r="141" spans="1:22" ht="18.75" x14ac:dyDescent="0.2">
      <c r="A141" s="207" t="s">
        <v>78</v>
      </c>
      <c r="B141" s="190">
        <v>344</v>
      </c>
      <c r="C141" s="195">
        <f>7000+2807.5</f>
        <v>9807.5</v>
      </c>
      <c r="D141" s="202">
        <v>9807.5</v>
      </c>
      <c r="E141" s="191">
        <f>C141-D141</f>
        <v>0</v>
      </c>
      <c r="F141" s="195"/>
      <c r="G141" s="204">
        <f>E141-F141</f>
        <v>0</v>
      </c>
      <c r="H141" s="206"/>
      <c r="I141" s="195"/>
      <c r="J141" s="195"/>
      <c r="K141" s="204">
        <f t="shared" si="21"/>
        <v>0</v>
      </c>
      <c r="L141" s="202"/>
      <c r="M141" s="202"/>
      <c r="N141" s="200">
        <f t="shared" si="26"/>
        <v>0</v>
      </c>
      <c r="O141" s="202"/>
      <c r="P141" s="202"/>
      <c r="Q141" s="192">
        <f t="shared" si="22"/>
        <v>0</v>
      </c>
      <c r="R141" s="202"/>
      <c r="S141" s="202">
        <f t="shared" si="32"/>
        <v>0</v>
      </c>
      <c r="T141" s="195">
        <f t="shared" si="27"/>
        <v>0</v>
      </c>
      <c r="U141" s="231"/>
      <c r="V141" s="231"/>
    </row>
    <row r="142" spans="1:22" ht="37.5" x14ac:dyDescent="0.2">
      <c r="A142" s="207" t="s">
        <v>207</v>
      </c>
      <c r="B142" s="190">
        <v>345</v>
      </c>
      <c r="C142" s="195">
        <f>1275-1000-275</f>
        <v>0</v>
      </c>
      <c r="D142" s="202"/>
      <c r="E142" s="191">
        <f>C142-D142</f>
        <v>0</v>
      </c>
      <c r="F142" s="195"/>
      <c r="G142" s="204">
        <f>E142-F142</f>
        <v>0</v>
      </c>
      <c r="H142" s="195">
        <v>31325</v>
      </c>
      <c r="I142" s="195">
        <v>31325</v>
      </c>
      <c r="J142" s="195"/>
      <c r="K142" s="204">
        <f t="shared" si="21"/>
        <v>31325</v>
      </c>
      <c r="L142" s="202">
        <f>O142+R142</f>
        <v>0</v>
      </c>
      <c r="M142" s="202"/>
      <c r="N142" s="200">
        <f t="shared" si="26"/>
        <v>0</v>
      </c>
      <c r="O142" s="202"/>
      <c r="P142" s="202"/>
      <c r="Q142" s="192">
        <f t="shared" si="22"/>
        <v>0</v>
      </c>
      <c r="R142" s="202"/>
      <c r="S142" s="202">
        <f t="shared" si="32"/>
        <v>31325</v>
      </c>
      <c r="T142" s="195">
        <f t="shared" si="27"/>
        <v>31325</v>
      </c>
      <c r="U142" s="231"/>
      <c r="V142" s="231"/>
    </row>
    <row r="143" spans="1:22" ht="18.75" x14ac:dyDescent="0.2">
      <c r="A143" s="207" t="s">
        <v>79</v>
      </c>
      <c r="B143" s="190">
        <v>346</v>
      </c>
      <c r="C143" s="192">
        <f t="shared" ref="C143" si="36">SUM(C144:C159)</f>
        <v>12544</v>
      </c>
      <c r="D143" s="192">
        <v>12544</v>
      </c>
      <c r="E143" s="192">
        <f t="shared" ref="E143:R143" si="37">SUM(E144:E159)</f>
        <v>0</v>
      </c>
      <c r="F143" s="192">
        <f t="shared" si="37"/>
        <v>0</v>
      </c>
      <c r="G143" s="192">
        <f t="shared" si="37"/>
        <v>0</v>
      </c>
      <c r="H143" s="192">
        <f t="shared" si="37"/>
        <v>9150</v>
      </c>
      <c r="I143" s="192">
        <f t="shared" si="37"/>
        <v>9150</v>
      </c>
      <c r="J143" s="192">
        <f t="shared" si="37"/>
        <v>0</v>
      </c>
      <c r="K143" s="192">
        <f t="shared" si="37"/>
        <v>9150</v>
      </c>
      <c r="L143" s="192">
        <f t="shared" si="37"/>
        <v>0</v>
      </c>
      <c r="M143" s="192">
        <f t="shared" si="37"/>
        <v>0</v>
      </c>
      <c r="N143" s="192">
        <f t="shared" si="37"/>
        <v>0</v>
      </c>
      <c r="O143" s="192">
        <f t="shared" si="37"/>
        <v>0</v>
      </c>
      <c r="P143" s="192">
        <f t="shared" si="37"/>
        <v>0</v>
      </c>
      <c r="Q143" s="192">
        <f t="shared" si="37"/>
        <v>0</v>
      </c>
      <c r="R143" s="192">
        <f t="shared" si="37"/>
        <v>0</v>
      </c>
      <c r="S143" s="192">
        <f>SUM(S144:S159)</f>
        <v>9150</v>
      </c>
      <c r="T143" s="192">
        <f>SUM(T144:T159)</f>
        <v>9150</v>
      </c>
      <c r="U143" s="289">
        <f>SUM(U144:U159)</f>
        <v>0</v>
      </c>
      <c r="V143" s="289">
        <f>SUM(V144:V159)</f>
        <v>0</v>
      </c>
    </row>
    <row r="144" spans="1:22" ht="18.75" x14ac:dyDescent="0.2">
      <c r="A144" s="101" t="s">
        <v>27</v>
      </c>
      <c r="B144" s="60"/>
      <c r="C144" s="111"/>
      <c r="D144" s="237"/>
      <c r="E144" s="54">
        <f>C144-D144</f>
        <v>0</v>
      </c>
      <c r="F144" s="142"/>
      <c r="G144" s="20">
        <f t="shared" si="6"/>
        <v>0</v>
      </c>
      <c r="H144" s="233"/>
      <c r="I144" s="111"/>
      <c r="J144" s="142"/>
      <c r="K144" s="20">
        <f t="shared" ref="K144:K161" si="38">I144-J144</f>
        <v>0</v>
      </c>
      <c r="L144" s="168"/>
      <c r="M144" s="154"/>
      <c r="N144" s="33">
        <f t="shared" si="26"/>
        <v>0</v>
      </c>
      <c r="O144" s="237"/>
      <c r="P144" s="154"/>
      <c r="Q144" s="19">
        <f t="shared" si="22"/>
        <v>0</v>
      </c>
      <c r="R144" s="183"/>
      <c r="S144" s="113">
        <f t="shared" ref="S144:S161" si="39">I144-O144-R144</f>
        <v>0</v>
      </c>
      <c r="T144" s="186">
        <f t="shared" si="27"/>
        <v>0</v>
      </c>
      <c r="U144" s="41"/>
      <c r="V144" s="309"/>
    </row>
    <row r="145" spans="1:22" ht="18.75" x14ac:dyDescent="0.2">
      <c r="A145" s="101" t="s">
        <v>120</v>
      </c>
      <c r="B145" s="60"/>
      <c r="C145" s="111">
        <f>15393-2300-420-204.08-1900-444.92</f>
        <v>10124</v>
      </c>
      <c r="D145" s="237">
        <v>10124</v>
      </c>
      <c r="E145" s="54">
        <f>C145-D145</f>
        <v>0</v>
      </c>
      <c r="F145" s="142"/>
      <c r="G145" s="20">
        <f t="shared" si="6"/>
        <v>0</v>
      </c>
      <c r="H145" s="233">
        <v>6150</v>
      </c>
      <c r="I145" s="111">
        <v>6150</v>
      </c>
      <c r="J145" s="142"/>
      <c r="K145" s="20">
        <f t="shared" si="38"/>
        <v>6150</v>
      </c>
      <c r="L145" s="168"/>
      <c r="M145" s="154"/>
      <c r="N145" s="33">
        <f t="shared" si="26"/>
        <v>0</v>
      </c>
      <c r="O145" s="237"/>
      <c r="P145" s="154"/>
      <c r="Q145" s="19">
        <f t="shared" si="22"/>
        <v>0</v>
      </c>
      <c r="R145" s="183"/>
      <c r="S145" s="113">
        <f t="shared" si="39"/>
        <v>6150</v>
      </c>
      <c r="T145" s="186">
        <f t="shared" si="27"/>
        <v>6150</v>
      </c>
      <c r="U145" s="41"/>
      <c r="V145" s="309"/>
    </row>
    <row r="146" spans="1:22" ht="18.75" x14ac:dyDescent="0.2">
      <c r="A146" s="86" t="s">
        <v>173</v>
      </c>
      <c r="B146" s="60"/>
      <c r="C146" s="111">
        <v>420</v>
      </c>
      <c r="D146" s="237">
        <v>420</v>
      </c>
      <c r="E146" s="54">
        <f t="shared" ref="E146:E159" si="40">C146-D146</f>
        <v>0</v>
      </c>
      <c r="F146" s="142"/>
      <c r="G146" s="20">
        <f t="shared" si="6"/>
        <v>0</v>
      </c>
      <c r="H146" s="233"/>
      <c r="I146" s="111"/>
      <c r="J146" s="142"/>
      <c r="K146" s="20">
        <f t="shared" si="38"/>
        <v>0</v>
      </c>
      <c r="L146" s="168"/>
      <c r="M146" s="154"/>
      <c r="N146" s="33">
        <f t="shared" si="26"/>
        <v>0</v>
      </c>
      <c r="O146" s="237"/>
      <c r="P146" s="154"/>
      <c r="Q146" s="19">
        <f t="shared" si="22"/>
        <v>0</v>
      </c>
      <c r="R146" s="183"/>
      <c r="S146" s="113">
        <f t="shared" si="39"/>
        <v>0</v>
      </c>
      <c r="T146" s="186">
        <f t="shared" si="27"/>
        <v>0</v>
      </c>
      <c r="U146" s="41"/>
      <c r="V146" s="309"/>
    </row>
    <row r="147" spans="1:22" ht="18.75" x14ac:dyDescent="0.2">
      <c r="A147" s="86" t="s">
        <v>244</v>
      </c>
      <c r="B147" s="60"/>
      <c r="C147" s="111">
        <v>2000</v>
      </c>
      <c r="D147" s="237">
        <v>2000</v>
      </c>
      <c r="E147" s="54">
        <f t="shared" si="40"/>
        <v>0</v>
      </c>
      <c r="F147" s="142"/>
      <c r="G147" s="20">
        <f t="shared" si="6"/>
        <v>0</v>
      </c>
      <c r="H147" s="233">
        <v>3000</v>
      </c>
      <c r="I147" s="111">
        <v>3000</v>
      </c>
      <c r="J147" s="142"/>
      <c r="K147" s="20">
        <f t="shared" si="38"/>
        <v>3000</v>
      </c>
      <c r="L147" s="168"/>
      <c r="M147" s="154"/>
      <c r="N147" s="33">
        <f t="shared" si="26"/>
        <v>0</v>
      </c>
      <c r="O147" s="237"/>
      <c r="P147" s="154"/>
      <c r="Q147" s="19">
        <f t="shared" si="22"/>
        <v>0</v>
      </c>
      <c r="R147" s="183"/>
      <c r="S147" s="113">
        <f t="shared" si="39"/>
        <v>3000</v>
      </c>
      <c r="T147" s="186">
        <f t="shared" si="27"/>
        <v>3000</v>
      </c>
      <c r="U147" s="41"/>
      <c r="V147" s="309"/>
    </row>
    <row r="148" spans="1:22" ht="37.5" x14ac:dyDescent="0.2">
      <c r="A148" s="97" t="s">
        <v>275</v>
      </c>
      <c r="B148" s="60"/>
      <c r="C148" s="111">
        <f>1900+907.5-2807.5</f>
        <v>0</v>
      </c>
      <c r="D148" s="237"/>
      <c r="E148" s="54">
        <f t="shared" si="40"/>
        <v>0</v>
      </c>
      <c r="F148" s="142"/>
      <c r="G148" s="20">
        <f t="shared" si="6"/>
        <v>0</v>
      </c>
      <c r="H148" s="233"/>
      <c r="I148" s="111"/>
      <c r="J148" s="142"/>
      <c r="K148" s="20">
        <f t="shared" si="38"/>
        <v>0</v>
      </c>
      <c r="L148" s="168"/>
      <c r="M148" s="154"/>
      <c r="N148" s="33">
        <f t="shared" si="26"/>
        <v>0</v>
      </c>
      <c r="O148" s="237"/>
      <c r="P148" s="154"/>
      <c r="Q148" s="19">
        <f t="shared" si="22"/>
        <v>0</v>
      </c>
      <c r="R148" s="183"/>
      <c r="S148" s="113">
        <f t="shared" si="39"/>
        <v>0</v>
      </c>
      <c r="T148" s="186">
        <f t="shared" si="27"/>
        <v>0</v>
      </c>
      <c r="U148" s="41"/>
      <c r="V148" s="309"/>
    </row>
    <row r="149" spans="1:22" ht="37.5" x14ac:dyDescent="0.2">
      <c r="A149" s="86" t="s">
        <v>245</v>
      </c>
      <c r="B149" s="60"/>
      <c r="C149" s="111"/>
      <c r="D149" s="237"/>
      <c r="E149" s="54">
        <f t="shared" si="40"/>
        <v>0</v>
      </c>
      <c r="F149" s="142"/>
      <c r="G149" s="20">
        <f t="shared" si="6"/>
        <v>0</v>
      </c>
      <c r="H149" s="233"/>
      <c r="I149" s="111"/>
      <c r="J149" s="142"/>
      <c r="K149" s="20">
        <f t="shared" si="38"/>
        <v>0</v>
      </c>
      <c r="L149" s="168"/>
      <c r="M149" s="154"/>
      <c r="N149" s="33">
        <f t="shared" si="26"/>
        <v>0</v>
      </c>
      <c r="O149" s="237"/>
      <c r="P149" s="154"/>
      <c r="Q149" s="19">
        <f t="shared" si="22"/>
        <v>0</v>
      </c>
      <c r="R149" s="183"/>
      <c r="S149" s="113">
        <f t="shared" si="39"/>
        <v>0</v>
      </c>
      <c r="T149" s="186">
        <f t="shared" si="27"/>
        <v>0</v>
      </c>
      <c r="U149" s="41"/>
      <c r="V149" s="309"/>
    </row>
    <row r="150" spans="1:22" ht="18.75" x14ac:dyDescent="0.2">
      <c r="A150" s="97" t="s">
        <v>240</v>
      </c>
      <c r="B150" s="60"/>
      <c r="C150" s="111"/>
      <c r="D150" s="237"/>
      <c r="E150" s="54">
        <f t="shared" si="40"/>
        <v>0</v>
      </c>
      <c r="F150" s="142"/>
      <c r="G150" s="20">
        <f t="shared" si="6"/>
        <v>0</v>
      </c>
      <c r="H150" s="233"/>
      <c r="I150" s="111"/>
      <c r="J150" s="142"/>
      <c r="K150" s="20">
        <f t="shared" si="38"/>
        <v>0</v>
      </c>
      <c r="L150" s="168"/>
      <c r="M150" s="154"/>
      <c r="N150" s="33">
        <f t="shared" si="26"/>
        <v>0</v>
      </c>
      <c r="O150" s="237"/>
      <c r="P150" s="154"/>
      <c r="Q150" s="19">
        <f t="shared" si="22"/>
        <v>0</v>
      </c>
      <c r="R150" s="183"/>
      <c r="S150" s="113">
        <f t="shared" si="39"/>
        <v>0</v>
      </c>
      <c r="T150" s="186">
        <f t="shared" si="27"/>
        <v>0</v>
      </c>
      <c r="U150" s="41"/>
      <c r="V150" s="309"/>
    </row>
    <row r="151" spans="1:22" ht="18.75" x14ac:dyDescent="0.2">
      <c r="A151" s="97" t="s">
        <v>203</v>
      </c>
      <c r="B151" s="60"/>
      <c r="C151" s="111"/>
      <c r="D151" s="237"/>
      <c r="E151" s="54">
        <f t="shared" si="40"/>
        <v>0</v>
      </c>
      <c r="F151" s="142"/>
      <c r="G151" s="20">
        <f t="shared" si="6"/>
        <v>0</v>
      </c>
      <c r="H151" s="233"/>
      <c r="I151" s="111"/>
      <c r="J151" s="142"/>
      <c r="K151" s="20">
        <f t="shared" si="38"/>
        <v>0</v>
      </c>
      <c r="L151" s="168"/>
      <c r="M151" s="154"/>
      <c r="N151" s="33">
        <f t="shared" si="26"/>
        <v>0</v>
      </c>
      <c r="O151" s="237"/>
      <c r="P151" s="154"/>
      <c r="Q151" s="19">
        <f t="shared" si="22"/>
        <v>0</v>
      </c>
      <c r="R151" s="183"/>
      <c r="S151" s="113">
        <f t="shared" si="39"/>
        <v>0</v>
      </c>
      <c r="T151" s="186">
        <f t="shared" si="27"/>
        <v>0</v>
      </c>
      <c r="U151" s="41"/>
      <c r="V151" s="309"/>
    </row>
    <row r="152" spans="1:22" ht="18.75" x14ac:dyDescent="0.2">
      <c r="A152" s="104" t="s">
        <v>128</v>
      </c>
      <c r="B152" s="60"/>
      <c r="C152" s="111"/>
      <c r="D152" s="237"/>
      <c r="E152" s="54">
        <f t="shared" si="40"/>
        <v>0</v>
      </c>
      <c r="F152" s="142"/>
      <c r="G152" s="20">
        <f t="shared" si="6"/>
        <v>0</v>
      </c>
      <c r="H152" s="233"/>
      <c r="I152" s="111"/>
      <c r="J152" s="142"/>
      <c r="K152" s="20">
        <f t="shared" si="38"/>
        <v>0</v>
      </c>
      <c r="L152" s="168"/>
      <c r="M152" s="154"/>
      <c r="N152" s="33">
        <f t="shared" si="26"/>
        <v>0</v>
      </c>
      <c r="O152" s="237"/>
      <c r="P152" s="154"/>
      <c r="Q152" s="19">
        <f t="shared" si="22"/>
        <v>0</v>
      </c>
      <c r="R152" s="183"/>
      <c r="S152" s="113">
        <f t="shared" si="39"/>
        <v>0</v>
      </c>
      <c r="T152" s="186">
        <f t="shared" si="27"/>
        <v>0</v>
      </c>
      <c r="U152" s="41"/>
      <c r="V152" s="309"/>
    </row>
    <row r="153" spans="1:22" ht="37.5" x14ac:dyDescent="0.2">
      <c r="A153" s="105" t="s">
        <v>239</v>
      </c>
      <c r="B153" s="62"/>
      <c r="C153" s="111"/>
      <c r="D153" s="237"/>
      <c r="E153" s="54">
        <f t="shared" si="40"/>
        <v>0</v>
      </c>
      <c r="F153" s="142"/>
      <c r="G153" s="20">
        <f t="shared" si="6"/>
        <v>0</v>
      </c>
      <c r="H153" s="233"/>
      <c r="I153" s="111"/>
      <c r="J153" s="142"/>
      <c r="K153" s="20">
        <f t="shared" si="38"/>
        <v>0</v>
      </c>
      <c r="L153" s="168"/>
      <c r="M153" s="154"/>
      <c r="N153" s="33">
        <f t="shared" si="26"/>
        <v>0</v>
      </c>
      <c r="O153" s="237"/>
      <c r="P153" s="154"/>
      <c r="Q153" s="19">
        <f t="shared" si="22"/>
        <v>0</v>
      </c>
      <c r="R153" s="183"/>
      <c r="S153" s="113">
        <f t="shared" si="39"/>
        <v>0</v>
      </c>
      <c r="T153" s="186">
        <f t="shared" si="27"/>
        <v>0</v>
      </c>
      <c r="U153" s="41"/>
      <c r="V153" s="309"/>
    </row>
    <row r="154" spans="1:22" ht="18.75" x14ac:dyDescent="0.2">
      <c r="A154" s="103" t="s">
        <v>289</v>
      </c>
      <c r="B154" s="60"/>
      <c r="C154" s="111"/>
      <c r="D154" s="237"/>
      <c r="E154" s="54">
        <f t="shared" si="40"/>
        <v>0</v>
      </c>
      <c r="F154" s="142"/>
      <c r="G154" s="20">
        <f t="shared" si="6"/>
        <v>0</v>
      </c>
      <c r="H154" s="233"/>
      <c r="I154" s="111"/>
      <c r="J154" s="142"/>
      <c r="K154" s="20">
        <f t="shared" si="38"/>
        <v>0</v>
      </c>
      <c r="L154" s="168"/>
      <c r="M154" s="154"/>
      <c r="N154" s="21">
        <f t="shared" si="26"/>
        <v>0</v>
      </c>
      <c r="O154" s="237"/>
      <c r="P154" s="154"/>
      <c r="Q154" s="19">
        <f t="shared" si="22"/>
        <v>0</v>
      </c>
      <c r="R154" s="183"/>
      <c r="S154" s="113">
        <f t="shared" si="39"/>
        <v>0</v>
      </c>
      <c r="T154" s="186">
        <f t="shared" si="27"/>
        <v>0</v>
      </c>
      <c r="U154" s="41"/>
      <c r="V154" s="309"/>
    </row>
    <row r="155" spans="1:22" ht="18.75" x14ac:dyDescent="0.2">
      <c r="A155" s="106" t="s">
        <v>204</v>
      </c>
      <c r="B155" s="60"/>
      <c r="C155" s="111"/>
      <c r="D155" s="237"/>
      <c r="E155" s="54">
        <f t="shared" si="40"/>
        <v>0</v>
      </c>
      <c r="F155" s="142"/>
      <c r="G155" s="20">
        <f>E155-F155</f>
        <v>0</v>
      </c>
      <c r="H155" s="233"/>
      <c r="I155" s="111"/>
      <c r="J155" s="142"/>
      <c r="K155" s="20">
        <f t="shared" si="38"/>
        <v>0</v>
      </c>
      <c r="L155" s="168"/>
      <c r="M155" s="154"/>
      <c r="N155" s="21">
        <f t="shared" si="26"/>
        <v>0</v>
      </c>
      <c r="O155" s="237"/>
      <c r="P155" s="154"/>
      <c r="Q155" s="19">
        <f t="shared" si="22"/>
        <v>0</v>
      </c>
      <c r="R155" s="183"/>
      <c r="S155" s="113">
        <f t="shared" si="39"/>
        <v>0</v>
      </c>
      <c r="T155" s="186">
        <f t="shared" si="27"/>
        <v>0</v>
      </c>
      <c r="U155" s="41"/>
      <c r="V155" s="309"/>
    </row>
    <row r="156" spans="1:22" ht="18.75" x14ac:dyDescent="0.2">
      <c r="A156" s="107" t="s">
        <v>112</v>
      </c>
      <c r="B156" s="60"/>
      <c r="C156" s="111"/>
      <c r="D156" s="237"/>
      <c r="E156" s="54">
        <f t="shared" si="40"/>
        <v>0</v>
      </c>
      <c r="F156" s="142"/>
      <c r="G156" s="20">
        <f>E156-F156</f>
        <v>0</v>
      </c>
      <c r="H156" s="233"/>
      <c r="I156" s="111"/>
      <c r="J156" s="142"/>
      <c r="K156" s="20">
        <f t="shared" si="38"/>
        <v>0</v>
      </c>
      <c r="L156" s="168"/>
      <c r="M156" s="154"/>
      <c r="N156" s="21">
        <f t="shared" si="26"/>
        <v>0</v>
      </c>
      <c r="O156" s="237"/>
      <c r="P156" s="154"/>
      <c r="Q156" s="19">
        <f t="shared" si="22"/>
        <v>0</v>
      </c>
      <c r="R156" s="183"/>
      <c r="S156" s="113">
        <f t="shared" si="39"/>
        <v>0</v>
      </c>
      <c r="T156" s="186">
        <f t="shared" si="27"/>
        <v>0</v>
      </c>
      <c r="U156" s="41"/>
      <c r="V156" s="309"/>
    </row>
    <row r="157" spans="1:22" ht="56.25" x14ac:dyDescent="0.2">
      <c r="A157" s="108" t="s">
        <v>155</v>
      </c>
      <c r="B157" s="60"/>
      <c r="C157" s="111"/>
      <c r="D157" s="237"/>
      <c r="E157" s="54">
        <f t="shared" si="40"/>
        <v>0</v>
      </c>
      <c r="F157" s="142"/>
      <c r="G157" s="20">
        <f>E157-F157</f>
        <v>0</v>
      </c>
      <c r="H157" s="233"/>
      <c r="I157" s="111"/>
      <c r="J157" s="142"/>
      <c r="K157" s="20">
        <f t="shared" si="38"/>
        <v>0</v>
      </c>
      <c r="L157" s="168"/>
      <c r="M157" s="154"/>
      <c r="N157" s="21">
        <f t="shared" si="26"/>
        <v>0</v>
      </c>
      <c r="O157" s="237"/>
      <c r="P157" s="154"/>
      <c r="Q157" s="19">
        <f t="shared" si="22"/>
        <v>0</v>
      </c>
      <c r="R157" s="183"/>
      <c r="S157" s="113">
        <f t="shared" si="39"/>
        <v>0</v>
      </c>
      <c r="T157" s="186">
        <f t="shared" si="27"/>
        <v>0</v>
      </c>
      <c r="U157" s="41"/>
      <c r="V157" s="309"/>
    </row>
    <row r="158" spans="1:22" ht="18.75" x14ac:dyDescent="0.2">
      <c r="A158" s="108" t="s">
        <v>170</v>
      </c>
      <c r="B158" s="60"/>
      <c r="C158" s="111"/>
      <c r="D158" s="237"/>
      <c r="E158" s="54">
        <f t="shared" si="40"/>
        <v>0</v>
      </c>
      <c r="F158" s="142"/>
      <c r="G158" s="20">
        <f>E158-F158</f>
        <v>0</v>
      </c>
      <c r="H158" s="233"/>
      <c r="I158" s="111"/>
      <c r="J158" s="142"/>
      <c r="K158" s="20">
        <f t="shared" si="38"/>
        <v>0</v>
      </c>
      <c r="L158" s="168"/>
      <c r="M158" s="154"/>
      <c r="N158" s="21">
        <f t="shared" si="26"/>
        <v>0</v>
      </c>
      <c r="O158" s="237"/>
      <c r="P158" s="154"/>
      <c r="Q158" s="19">
        <f t="shared" si="22"/>
        <v>0</v>
      </c>
      <c r="R158" s="183"/>
      <c r="S158" s="113">
        <f t="shared" si="39"/>
        <v>0</v>
      </c>
      <c r="T158" s="186">
        <f t="shared" si="27"/>
        <v>0</v>
      </c>
      <c r="U158" s="41"/>
      <c r="V158" s="309"/>
    </row>
    <row r="159" spans="1:22" ht="18.75" x14ac:dyDescent="0.2">
      <c r="A159" s="108" t="s">
        <v>172</v>
      </c>
      <c r="B159" s="60"/>
      <c r="C159" s="111"/>
      <c r="D159" s="237"/>
      <c r="E159" s="54">
        <f t="shared" si="40"/>
        <v>0</v>
      </c>
      <c r="F159" s="142"/>
      <c r="G159" s="20">
        <f>E159-F159</f>
        <v>0</v>
      </c>
      <c r="H159" s="233"/>
      <c r="I159" s="111"/>
      <c r="J159" s="142"/>
      <c r="K159" s="20">
        <f t="shared" si="38"/>
        <v>0</v>
      </c>
      <c r="L159" s="168"/>
      <c r="M159" s="154"/>
      <c r="N159" s="21">
        <f t="shared" si="26"/>
        <v>0</v>
      </c>
      <c r="O159" s="237"/>
      <c r="P159" s="154"/>
      <c r="Q159" s="19">
        <f t="shared" si="22"/>
        <v>0</v>
      </c>
      <c r="R159" s="183"/>
      <c r="S159" s="113">
        <f t="shared" si="39"/>
        <v>0</v>
      </c>
      <c r="T159" s="186">
        <f t="shared" si="27"/>
        <v>0</v>
      </c>
      <c r="U159" s="41"/>
      <c r="V159" s="309"/>
    </row>
    <row r="160" spans="1:22" ht="37.5" x14ac:dyDescent="0.2">
      <c r="A160" s="209" t="s">
        <v>106</v>
      </c>
      <c r="B160" s="190">
        <v>349</v>
      </c>
      <c r="C160" s="250">
        <f t="shared" ref="C160:V160" si="41">C161</f>
        <v>0</v>
      </c>
      <c r="D160" s="250">
        <v>0</v>
      </c>
      <c r="E160" s="250">
        <f t="shared" si="41"/>
        <v>0</v>
      </c>
      <c r="F160" s="250">
        <f t="shared" si="41"/>
        <v>0</v>
      </c>
      <c r="G160" s="250">
        <f t="shared" si="41"/>
        <v>0</v>
      </c>
      <c r="H160" s="250">
        <f t="shared" si="41"/>
        <v>0</v>
      </c>
      <c r="I160" s="250">
        <f t="shared" si="41"/>
        <v>0</v>
      </c>
      <c r="J160" s="250">
        <f t="shared" si="41"/>
        <v>0</v>
      </c>
      <c r="K160" s="250">
        <f t="shared" si="41"/>
        <v>0</v>
      </c>
      <c r="L160" s="250">
        <f t="shared" si="41"/>
        <v>0</v>
      </c>
      <c r="M160" s="250">
        <f t="shared" si="41"/>
        <v>0</v>
      </c>
      <c r="N160" s="250">
        <f t="shared" si="41"/>
        <v>0</v>
      </c>
      <c r="O160" s="250">
        <f t="shared" si="41"/>
        <v>0</v>
      </c>
      <c r="P160" s="250">
        <f t="shared" si="41"/>
        <v>0</v>
      </c>
      <c r="Q160" s="250">
        <f t="shared" si="41"/>
        <v>0</v>
      </c>
      <c r="R160" s="250">
        <f t="shared" si="41"/>
        <v>0</v>
      </c>
      <c r="S160" s="250">
        <f t="shared" si="41"/>
        <v>0</v>
      </c>
      <c r="T160" s="250">
        <f t="shared" si="41"/>
        <v>0</v>
      </c>
      <c r="U160" s="291">
        <f t="shared" si="41"/>
        <v>0</v>
      </c>
      <c r="V160" s="291">
        <f t="shared" si="41"/>
        <v>0</v>
      </c>
    </row>
    <row r="161" spans="1:22" ht="18.75" x14ac:dyDescent="0.2">
      <c r="A161" s="108" t="s">
        <v>107</v>
      </c>
      <c r="B161" s="60"/>
      <c r="C161" s="111">
        <f>528.36-528.36</f>
        <v>0</v>
      </c>
      <c r="D161" s="237">
        <v>0</v>
      </c>
      <c r="E161" s="54">
        <f>C161-D161</f>
        <v>0</v>
      </c>
      <c r="F161" s="142"/>
      <c r="G161" s="20">
        <f>E161-F161</f>
        <v>0</v>
      </c>
      <c r="H161" s="125"/>
      <c r="I161" s="111"/>
      <c r="J161" s="142"/>
      <c r="K161" s="20">
        <f t="shared" si="38"/>
        <v>0</v>
      </c>
      <c r="L161" s="168">
        <f>528.36-528.36</f>
        <v>0</v>
      </c>
      <c r="M161" s="154"/>
      <c r="N161" s="33">
        <f t="shared" si="26"/>
        <v>0</v>
      </c>
      <c r="O161" s="237">
        <f>528.36-528.36</f>
        <v>0</v>
      </c>
      <c r="P161" s="154"/>
      <c r="Q161" s="19">
        <f t="shared" si="22"/>
        <v>0</v>
      </c>
      <c r="R161" s="183"/>
      <c r="S161" s="113">
        <f t="shared" si="39"/>
        <v>0</v>
      </c>
      <c r="T161" s="186">
        <f t="shared" si="27"/>
        <v>0</v>
      </c>
      <c r="U161" s="41"/>
      <c r="V161" s="309"/>
    </row>
    <row r="162" spans="1:22" ht="18.75" x14ac:dyDescent="0.2">
      <c r="A162" s="259" t="s">
        <v>50</v>
      </c>
      <c r="B162" s="260"/>
      <c r="C162" s="308">
        <f t="shared" ref="C162:G162" si="42">C9+C12+C16+C21+C22+C30+C61+C99+C100+C101+C107+C109+C110+C134+C135+C138+C141+C142+C143+C160</f>
        <v>2178303.46</v>
      </c>
      <c r="D162" s="308">
        <f t="shared" si="42"/>
        <v>2142754.5699999998</v>
      </c>
      <c r="E162" s="308">
        <f t="shared" si="42"/>
        <v>35548.890000000007</v>
      </c>
      <c r="F162" s="308">
        <f t="shared" si="42"/>
        <v>5876.02</v>
      </c>
      <c r="G162" s="308">
        <f t="shared" si="42"/>
        <v>29672.870000000006</v>
      </c>
      <c r="H162" s="308">
        <f>H9+H12+H16+H21+H22+H30+H61+H99+H100+H101+H107+H109+H110+H134+H135+H138+H141+H142+H143+H160</f>
        <v>1731711.24</v>
      </c>
      <c r="I162" s="308">
        <f t="shared" ref="I162:V162" si="43">I9+I12+I16+I21+I22+I30+I61+I99+I100+I101+I107+I109+I110+I134+I135+I138+I141+I142+I143+I160</f>
        <v>1685134.13</v>
      </c>
      <c r="J162" s="308">
        <f t="shared" si="43"/>
        <v>0</v>
      </c>
      <c r="K162" s="308">
        <f t="shared" si="43"/>
        <v>1685134.13</v>
      </c>
      <c r="L162" s="308">
        <f t="shared" si="43"/>
        <v>517299.39999999997</v>
      </c>
      <c r="M162" s="308">
        <f t="shared" si="43"/>
        <v>0</v>
      </c>
      <c r="N162" s="308">
        <f t="shared" si="43"/>
        <v>517299.39999999997</v>
      </c>
      <c r="O162" s="308">
        <f t="shared" si="43"/>
        <v>247693.66</v>
      </c>
      <c r="P162" s="308">
        <f t="shared" si="43"/>
        <v>35448.89</v>
      </c>
      <c r="Q162" s="308">
        <f t="shared" si="43"/>
        <v>196188.15</v>
      </c>
      <c r="R162" s="308">
        <f t="shared" si="43"/>
        <v>0</v>
      </c>
      <c r="S162" s="308">
        <f t="shared" si="43"/>
        <v>1437440.47</v>
      </c>
      <c r="T162" s="308">
        <f t="shared" si="43"/>
        <v>1167834.73</v>
      </c>
      <c r="U162" s="308">
        <f t="shared" si="43"/>
        <v>0</v>
      </c>
      <c r="V162" s="308">
        <f t="shared" si="43"/>
        <v>0</v>
      </c>
    </row>
    <row r="163" spans="1:22" ht="56.25" customHeight="1" x14ac:dyDescent="0.3">
      <c r="A163" s="380" t="s">
        <v>252</v>
      </c>
      <c r="B163" s="381"/>
      <c r="C163" s="327"/>
      <c r="D163" s="268"/>
      <c r="E163" s="268"/>
      <c r="F163" s="268"/>
      <c r="G163" s="268"/>
      <c r="H163" s="268"/>
      <c r="I163" s="269"/>
      <c r="J163" s="268"/>
      <c r="K163" s="268"/>
      <c r="L163" s="268"/>
      <c r="M163" s="268"/>
      <c r="N163" s="269"/>
      <c r="O163" s="268"/>
      <c r="P163" s="268"/>
      <c r="Q163" s="268"/>
      <c r="R163" s="268"/>
      <c r="S163" s="268"/>
      <c r="T163" s="268"/>
      <c r="U163" s="303"/>
      <c r="V163" s="304"/>
    </row>
    <row r="164" spans="1:22" ht="18.75" x14ac:dyDescent="0.2">
      <c r="A164" s="193" t="s">
        <v>17</v>
      </c>
      <c r="B164" s="203">
        <v>225</v>
      </c>
      <c r="C164" s="200">
        <f t="shared" ref="C164" si="44">SUM(C165:C183)</f>
        <v>99986.57</v>
      </c>
      <c r="D164" s="200">
        <v>99986.57</v>
      </c>
      <c r="E164" s="200">
        <f t="shared" ref="E164:V164" si="45">SUM(E165:E183)</f>
        <v>0</v>
      </c>
      <c r="F164" s="200">
        <f t="shared" si="45"/>
        <v>0</v>
      </c>
      <c r="G164" s="200">
        <f t="shared" si="45"/>
        <v>0</v>
      </c>
      <c r="H164" s="200">
        <f t="shared" si="45"/>
        <v>0</v>
      </c>
      <c r="I164" s="200">
        <f t="shared" si="45"/>
        <v>0</v>
      </c>
      <c r="J164" s="200">
        <f t="shared" si="45"/>
        <v>0</v>
      </c>
      <c r="K164" s="200">
        <f t="shared" si="45"/>
        <v>0</v>
      </c>
      <c r="L164" s="200">
        <f t="shared" si="45"/>
        <v>0</v>
      </c>
      <c r="M164" s="200">
        <f t="shared" si="45"/>
        <v>0</v>
      </c>
      <c r="N164" s="200">
        <f t="shared" si="45"/>
        <v>0</v>
      </c>
      <c r="O164" s="200">
        <f t="shared" si="45"/>
        <v>0</v>
      </c>
      <c r="P164" s="200">
        <f t="shared" si="45"/>
        <v>0</v>
      </c>
      <c r="Q164" s="200">
        <f t="shared" si="45"/>
        <v>0</v>
      </c>
      <c r="R164" s="200">
        <f t="shared" si="45"/>
        <v>0</v>
      </c>
      <c r="S164" s="200">
        <f t="shared" si="45"/>
        <v>0</v>
      </c>
      <c r="T164" s="200">
        <f t="shared" si="45"/>
        <v>0</v>
      </c>
      <c r="U164" s="292">
        <f t="shared" si="45"/>
        <v>0</v>
      </c>
      <c r="V164" s="292">
        <f t="shared" si="45"/>
        <v>0</v>
      </c>
    </row>
    <row r="165" spans="1:22" ht="56.25" x14ac:dyDescent="0.2">
      <c r="A165" s="31" t="s">
        <v>108</v>
      </c>
      <c r="B165" s="60"/>
      <c r="C165" s="111"/>
      <c r="D165" s="237"/>
      <c r="E165" s="37">
        <f t="shared" ref="E165:E172" si="46">C165-D165</f>
        <v>0</v>
      </c>
      <c r="F165" s="143"/>
      <c r="G165" s="63">
        <f t="shared" ref="G165:G204" si="47">E165-F165</f>
        <v>0</v>
      </c>
      <c r="H165" s="233"/>
      <c r="I165" s="111"/>
      <c r="J165" s="143"/>
      <c r="K165" s="20">
        <f t="shared" ref="K165:K204" si="48">I165-J165</f>
        <v>0</v>
      </c>
      <c r="L165" s="168"/>
      <c r="M165" s="169"/>
      <c r="N165" s="33">
        <f t="shared" ref="N165:N204" si="49">L165-M165</f>
        <v>0</v>
      </c>
      <c r="O165" s="237"/>
      <c r="P165" s="152"/>
      <c r="Q165" s="21">
        <f t="shared" ref="Q165:Q204" si="50">O165-P165</f>
        <v>0</v>
      </c>
      <c r="R165" s="174"/>
      <c r="S165" s="114">
        <f t="shared" ref="S165:S204" si="51">I165-O165-R165</f>
        <v>0</v>
      </c>
      <c r="T165" s="186">
        <f t="shared" ref="T165:T199" si="52">I165-L165</f>
        <v>0</v>
      </c>
      <c r="U165" s="5"/>
      <c r="V165" s="309"/>
    </row>
    <row r="166" spans="1:22" ht="18.75" x14ac:dyDescent="0.2">
      <c r="A166" s="31" t="s">
        <v>220</v>
      </c>
      <c r="B166" s="60"/>
      <c r="C166" s="111"/>
      <c r="D166" s="237"/>
      <c r="E166" s="37">
        <f t="shared" si="46"/>
        <v>0</v>
      </c>
      <c r="F166" s="143"/>
      <c r="G166" s="63">
        <f t="shared" si="47"/>
        <v>0</v>
      </c>
      <c r="H166" s="233"/>
      <c r="I166" s="111"/>
      <c r="J166" s="143"/>
      <c r="K166" s="20">
        <f t="shared" si="48"/>
        <v>0</v>
      </c>
      <c r="L166" s="168"/>
      <c r="M166" s="169"/>
      <c r="N166" s="33">
        <f t="shared" si="49"/>
        <v>0</v>
      </c>
      <c r="O166" s="237"/>
      <c r="P166" s="152"/>
      <c r="Q166" s="21">
        <f t="shared" si="50"/>
        <v>0</v>
      </c>
      <c r="R166" s="174"/>
      <c r="S166" s="114">
        <f t="shared" si="51"/>
        <v>0</v>
      </c>
      <c r="T166" s="186">
        <f t="shared" si="52"/>
        <v>0</v>
      </c>
      <c r="U166" s="5"/>
      <c r="V166" s="309"/>
    </row>
    <row r="167" spans="1:22" ht="37.5" x14ac:dyDescent="0.2">
      <c r="A167" s="31" t="s">
        <v>215</v>
      </c>
      <c r="B167" s="60"/>
      <c r="C167" s="111"/>
      <c r="D167" s="237"/>
      <c r="E167" s="37">
        <f t="shared" si="46"/>
        <v>0</v>
      </c>
      <c r="F167" s="143"/>
      <c r="G167" s="63">
        <f t="shared" si="47"/>
        <v>0</v>
      </c>
      <c r="H167" s="233"/>
      <c r="I167" s="111"/>
      <c r="J167" s="143"/>
      <c r="K167" s="20">
        <f t="shared" si="48"/>
        <v>0</v>
      </c>
      <c r="L167" s="168"/>
      <c r="M167" s="169"/>
      <c r="N167" s="33">
        <f t="shared" si="49"/>
        <v>0</v>
      </c>
      <c r="O167" s="237"/>
      <c r="P167" s="152"/>
      <c r="Q167" s="21">
        <f t="shared" si="50"/>
        <v>0</v>
      </c>
      <c r="R167" s="174"/>
      <c r="S167" s="114">
        <f t="shared" si="51"/>
        <v>0</v>
      </c>
      <c r="T167" s="186">
        <f t="shared" si="52"/>
        <v>0</v>
      </c>
      <c r="U167" s="5"/>
      <c r="V167" s="309"/>
    </row>
    <row r="168" spans="1:22" ht="18.75" x14ac:dyDescent="0.2">
      <c r="A168" s="31" t="s">
        <v>165</v>
      </c>
      <c r="B168" s="60"/>
      <c r="C168" s="111"/>
      <c r="D168" s="237"/>
      <c r="E168" s="37">
        <f t="shared" si="46"/>
        <v>0</v>
      </c>
      <c r="F168" s="143"/>
      <c r="G168" s="63">
        <f t="shared" si="47"/>
        <v>0</v>
      </c>
      <c r="H168" s="233"/>
      <c r="I168" s="111"/>
      <c r="J168" s="143"/>
      <c r="K168" s="20">
        <f t="shared" si="48"/>
        <v>0</v>
      </c>
      <c r="L168" s="168"/>
      <c r="M168" s="169"/>
      <c r="N168" s="33">
        <f t="shared" si="49"/>
        <v>0</v>
      </c>
      <c r="O168" s="237"/>
      <c r="P168" s="152"/>
      <c r="Q168" s="21">
        <f t="shared" si="50"/>
        <v>0</v>
      </c>
      <c r="R168" s="174"/>
      <c r="S168" s="114">
        <f t="shared" si="51"/>
        <v>0</v>
      </c>
      <c r="T168" s="186">
        <f t="shared" si="52"/>
        <v>0</v>
      </c>
      <c r="U168" s="5"/>
      <c r="V168" s="309"/>
    </row>
    <row r="169" spans="1:22" ht="18.75" x14ac:dyDescent="0.2">
      <c r="A169" s="24" t="s">
        <v>139</v>
      </c>
      <c r="B169" s="60"/>
      <c r="C169" s="111"/>
      <c r="D169" s="237"/>
      <c r="E169" s="37">
        <f t="shared" si="46"/>
        <v>0</v>
      </c>
      <c r="F169" s="143"/>
      <c r="G169" s="63">
        <f t="shared" si="47"/>
        <v>0</v>
      </c>
      <c r="H169" s="233"/>
      <c r="I169" s="111"/>
      <c r="J169" s="143"/>
      <c r="K169" s="20">
        <f t="shared" si="48"/>
        <v>0</v>
      </c>
      <c r="L169" s="168"/>
      <c r="M169" s="169"/>
      <c r="N169" s="33">
        <f t="shared" si="49"/>
        <v>0</v>
      </c>
      <c r="O169" s="237"/>
      <c r="P169" s="152"/>
      <c r="Q169" s="21">
        <f t="shared" si="50"/>
        <v>0</v>
      </c>
      <c r="R169" s="174"/>
      <c r="S169" s="114">
        <f t="shared" si="51"/>
        <v>0</v>
      </c>
      <c r="T169" s="186">
        <f t="shared" si="52"/>
        <v>0</v>
      </c>
      <c r="U169" s="5"/>
      <c r="V169" s="309"/>
    </row>
    <row r="170" spans="1:22" ht="37.5" x14ac:dyDescent="0.3">
      <c r="A170" s="10" t="s">
        <v>268</v>
      </c>
      <c r="B170" s="60"/>
      <c r="C170" s="111"/>
      <c r="D170" s="237"/>
      <c r="E170" s="37">
        <f t="shared" si="46"/>
        <v>0</v>
      </c>
      <c r="F170" s="143"/>
      <c r="G170" s="63">
        <f t="shared" si="47"/>
        <v>0</v>
      </c>
      <c r="H170" s="233"/>
      <c r="I170" s="111"/>
      <c r="J170" s="143"/>
      <c r="K170" s="20">
        <f t="shared" si="48"/>
        <v>0</v>
      </c>
      <c r="L170" s="168"/>
      <c r="M170" s="169"/>
      <c r="N170" s="33">
        <f t="shared" si="49"/>
        <v>0</v>
      </c>
      <c r="O170" s="237"/>
      <c r="P170" s="152"/>
      <c r="Q170" s="21">
        <f t="shared" si="50"/>
        <v>0</v>
      </c>
      <c r="R170" s="174"/>
      <c r="S170" s="114">
        <f t="shared" si="51"/>
        <v>0</v>
      </c>
      <c r="T170" s="186">
        <f t="shared" si="52"/>
        <v>0</v>
      </c>
      <c r="U170" s="5"/>
      <c r="V170" s="309"/>
    </row>
    <row r="171" spans="1:22" ht="18.75" x14ac:dyDescent="0.2">
      <c r="A171" s="31" t="s">
        <v>88</v>
      </c>
      <c r="B171" s="60"/>
      <c r="C171" s="111"/>
      <c r="D171" s="237"/>
      <c r="E171" s="37">
        <f t="shared" si="46"/>
        <v>0</v>
      </c>
      <c r="F171" s="143"/>
      <c r="G171" s="63">
        <f t="shared" si="47"/>
        <v>0</v>
      </c>
      <c r="H171" s="233"/>
      <c r="I171" s="111"/>
      <c r="J171" s="143"/>
      <c r="K171" s="20">
        <f t="shared" si="48"/>
        <v>0</v>
      </c>
      <c r="L171" s="168"/>
      <c r="M171" s="169"/>
      <c r="N171" s="33">
        <f t="shared" si="49"/>
        <v>0</v>
      </c>
      <c r="O171" s="237"/>
      <c r="P171" s="152"/>
      <c r="Q171" s="21">
        <f t="shared" si="50"/>
        <v>0</v>
      </c>
      <c r="R171" s="174"/>
      <c r="S171" s="114">
        <f t="shared" si="51"/>
        <v>0</v>
      </c>
      <c r="T171" s="186">
        <f t="shared" si="52"/>
        <v>0</v>
      </c>
      <c r="U171" s="5"/>
      <c r="V171" s="309"/>
    </row>
    <row r="172" spans="1:22" ht="18.75" x14ac:dyDescent="0.2">
      <c r="A172" s="31" t="s">
        <v>67</v>
      </c>
      <c r="B172" s="60"/>
      <c r="C172" s="111"/>
      <c r="D172" s="237"/>
      <c r="E172" s="37">
        <f t="shared" si="46"/>
        <v>0</v>
      </c>
      <c r="F172" s="143"/>
      <c r="G172" s="63">
        <f t="shared" si="47"/>
        <v>0</v>
      </c>
      <c r="H172" s="233"/>
      <c r="I172" s="111"/>
      <c r="J172" s="143"/>
      <c r="K172" s="20">
        <f t="shared" si="48"/>
        <v>0</v>
      </c>
      <c r="L172" s="168"/>
      <c r="M172" s="169"/>
      <c r="N172" s="33">
        <f t="shared" si="49"/>
        <v>0</v>
      </c>
      <c r="O172" s="237"/>
      <c r="P172" s="152"/>
      <c r="Q172" s="21">
        <f t="shared" si="50"/>
        <v>0</v>
      </c>
      <c r="R172" s="174"/>
      <c r="S172" s="114">
        <f t="shared" si="51"/>
        <v>0</v>
      </c>
      <c r="T172" s="186">
        <f t="shared" si="52"/>
        <v>0</v>
      </c>
      <c r="U172" s="5"/>
      <c r="V172" s="309"/>
    </row>
    <row r="173" spans="1:22" ht="37.5" x14ac:dyDescent="0.2">
      <c r="A173" s="31" t="s">
        <v>69</v>
      </c>
      <c r="B173" s="60"/>
      <c r="C173" s="111">
        <f>50000+1842-51842</f>
        <v>0</v>
      </c>
      <c r="D173" s="237"/>
      <c r="E173" s="37">
        <f>C173-D173</f>
        <v>0</v>
      </c>
      <c r="F173" s="143"/>
      <c r="G173" s="63">
        <f t="shared" si="47"/>
        <v>0</v>
      </c>
      <c r="H173" s="233"/>
      <c r="I173" s="111"/>
      <c r="J173" s="143"/>
      <c r="K173" s="20">
        <f t="shared" si="48"/>
        <v>0</v>
      </c>
      <c r="L173" s="168"/>
      <c r="M173" s="169"/>
      <c r="N173" s="33">
        <f t="shared" si="49"/>
        <v>0</v>
      </c>
      <c r="O173" s="237"/>
      <c r="P173" s="152"/>
      <c r="Q173" s="21">
        <f t="shared" si="50"/>
        <v>0</v>
      </c>
      <c r="R173" s="174"/>
      <c r="S173" s="114">
        <f t="shared" si="51"/>
        <v>0</v>
      </c>
      <c r="T173" s="186">
        <f t="shared" si="52"/>
        <v>0</v>
      </c>
      <c r="U173" s="5"/>
      <c r="V173" s="309"/>
    </row>
    <row r="174" spans="1:22" ht="18.75" x14ac:dyDescent="0.2">
      <c r="A174" s="99" t="s">
        <v>169</v>
      </c>
      <c r="B174" s="60"/>
      <c r="C174" s="111"/>
      <c r="D174" s="237"/>
      <c r="E174" s="37">
        <f>C174-D174</f>
        <v>0</v>
      </c>
      <c r="F174" s="143"/>
      <c r="G174" s="63">
        <f t="shared" si="47"/>
        <v>0</v>
      </c>
      <c r="H174" s="233"/>
      <c r="I174" s="111"/>
      <c r="J174" s="143"/>
      <c r="K174" s="20">
        <f t="shared" si="48"/>
        <v>0</v>
      </c>
      <c r="L174" s="168"/>
      <c r="M174" s="169"/>
      <c r="N174" s="33">
        <f t="shared" si="49"/>
        <v>0</v>
      </c>
      <c r="O174" s="237"/>
      <c r="P174" s="152"/>
      <c r="Q174" s="21">
        <f t="shared" si="50"/>
        <v>0</v>
      </c>
      <c r="R174" s="174"/>
      <c r="S174" s="114">
        <f t="shared" si="51"/>
        <v>0</v>
      </c>
      <c r="T174" s="186">
        <f t="shared" si="52"/>
        <v>0</v>
      </c>
      <c r="U174" s="5"/>
      <c r="V174" s="309"/>
    </row>
    <row r="175" spans="1:22" ht="18.75" x14ac:dyDescent="0.2">
      <c r="A175" s="31" t="s">
        <v>68</v>
      </c>
      <c r="B175" s="60"/>
      <c r="C175" s="111"/>
      <c r="D175" s="237"/>
      <c r="E175" s="19">
        <f>C175-D175</f>
        <v>0</v>
      </c>
      <c r="F175" s="143"/>
      <c r="G175" s="20">
        <f t="shared" si="47"/>
        <v>0</v>
      </c>
      <c r="H175" s="233"/>
      <c r="I175" s="111"/>
      <c r="J175" s="143"/>
      <c r="K175" s="20">
        <f t="shared" si="48"/>
        <v>0</v>
      </c>
      <c r="L175" s="168"/>
      <c r="M175" s="169"/>
      <c r="N175" s="33">
        <f t="shared" si="49"/>
        <v>0</v>
      </c>
      <c r="O175" s="237"/>
      <c r="P175" s="152"/>
      <c r="Q175" s="21">
        <f t="shared" si="50"/>
        <v>0</v>
      </c>
      <c r="R175" s="174"/>
      <c r="S175" s="113">
        <f t="shared" si="51"/>
        <v>0</v>
      </c>
      <c r="T175" s="186">
        <f t="shared" si="52"/>
        <v>0</v>
      </c>
      <c r="U175" s="5"/>
      <c r="V175" s="309"/>
    </row>
    <row r="176" spans="1:22" ht="37.5" x14ac:dyDescent="0.2">
      <c r="A176" s="11" t="s">
        <v>222</v>
      </c>
      <c r="B176" s="60"/>
      <c r="C176" s="111"/>
      <c r="D176" s="237"/>
      <c r="E176" s="19">
        <f t="shared" ref="E176:E183" si="53">C176-D176</f>
        <v>0</v>
      </c>
      <c r="F176" s="143"/>
      <c r="G176" s="20">
        <f t="shared" si="47"/>
        <v>0</v>
      </c>
      <c r="H176" s="233"/>
      <c r="I176" s="111"/>
      <c r="J176" s="143"/>
      <c r="K176" s="20">
        <f t="shared" si="48"/>
        <v>0</v>
      </c>
      <c r="L176" s="168"/>
      <c r="M176" s="169"/>
      <c r="N176" s="33">
        <f t="shared" si="49"/>
        <v>0</v>
      </c>
      <c r="O176" s="237"/>
      <c r="P176" s="152"/>
      <c r="Q176" s="21">
        <f t="shared" si="50"/>
        <v>0</v>
      </c>
      <c r="R176" s="174"/>
      <c r="S176" s="113">
        <f t="shared" si="51"/>
        <v>0</v>
      </c>
      <c r="T176" s="186">
        <f t="shared" si="52"/>
        <v>0</v>
      </c>
      <c r="U176" s="293"/>
      <c r="V176" s="311"/>
    </row>
    <row r="177" spans="1:22" ht="18.75" x14ac:dyDescent="0.2">
      <c r="A177" s="11" t="s">
        <v>218</v>
      </c>
      <c r="B177" s="60"/>
      <c r="C177" s="111"/>
      <c r="D177" s="237"/>
      <c r="E177" s="19">
        <f t="shared" si="53"/>
        <v>0</v>
      </c>
      <c r="F177" s="143"/>
      <c r="G177" s="20">
        <f t="shared" si="47"/>
        <v>0</v>
      </c>
      <c r="H177" s="233"/>
      <c r="I177" s="111"/>
      <c r="J177" s="143"/>
      <c r="K177" s="20">
        <f t="shared" si="48"/>
        <v>0</v>
      </c>
      <c r="L177" s="168"/>
      <c r="M177" s="169"/>
      <c r="N177" s="33">
        <f t="shared" si="49"/>
        <v>0</v>
      </c>
      <c r="O177" s="237"/>
      <c r="P177" s="152"/>
      <c r="Q177" s="21">
        <f t="shared" si="50"/>
        <v>0</v>
      </c>
      <c r="R177" s="174"/>
      <c r="S177" s="113">
        <f t="shared" si="51"/>
        <v>0</v>
      </c>
      <c r="T177" s="186">
        <f t="shared" si="52"/>
        <v>0</v>
      </c>
      <c r="U177" s="293"/>
      <c r="V177" s="311"/>
    </row>
    <row r="178" spans="1:22" ht="18.75" x14ac:dyDescent="0.2">
      <c r="A178" s="11" t="s">
        <v>219</v>
      </c>
      <c r="B178" s="60"/>
      <c r="C178" s="111"/>
      <c r="D178" s="237"/>
      <c r="E178" s="19">
        <f t="shared" si="53"/>
        <v>0</v>
      </c>
      <c r="F178" s="143"/>
      <c r="G178" s="20">
        <f t="shared" si="47"/>
        <v>0</v>
      </c>
      <c r="H178" s="233"/>
      <c r="I178" s="111"/>
      <c r="J178" s="143"/>
      <c r="K178" s="20">
        <f t="shared" si="48"/>
        <v>0</v>
      </c>
      <c r="L178" s="168"/>
      <c r="M178" s="169"/>
      <c r="N178" s="33">
        <f t="shared" si="49"/>
        <v>0</v>
      </c>
      <c r="O178" s="237"/>
      <c r="P178" s="152"/>
      <c r="Q178" s="21">
        <f t="shared" si="50"/>
        <v>0</v>
      </c>
      <c r="R178" s="174"/>
      <c r="S178" s="113">
        <f t="shared" si="51"/>
        <v>0</v>
      </c>
      <c r="T178" s="186">
        <f t="shared" si="52"/>
        <v>0</v>
      </c>
      <c r="U178" s="293"/>
      <c r="V178" s="311"/>
    </row>
    <row r="179" spans="1:22" ht="18.75" x14ac:dyDescent="0.2">
      <c r="A179" s="11" t="s">
        <v>221</v>
      </c>
      <c r="B179" s="60"/>
      <c r="C179" s="111"/>
      <c r="D179" s="237"/>
      <c r="E179" s="19">
        <f t="shared" si="53"/>
        <v>0</v>
      </c>
      <c r="F179" s="143"/>
      <c r="G179" s="20">
        <f t="shared" si="47"/>
        <v>0</v>
      </c>
      <c r="H179" s="233"/>
      <c r="I179" s="111"/>
      <c r="J179" s="143"/>
      <c r="K179" s="20">
        <f t="shared" si="48"/>
        <v>0</v>
      </c>
      <c r="L179" s="168"/>
      <c r="M179" s="169"/>
      <c r="N179" s="33">
        <f t="shared" si="49"/>
        <v>0</v>
      </c>
      <c r="O179" s="237"/>
      <c r="P179" s="152"/>
      <c r="Q179" s="21">
        <f t="shared" si="50"/>
        <v>0</v>
      </c>
      <c r="R179" s="174"/>
      <c r="S179" s="113">
        <f t="shared" si="51"/>
        <v>0</v>
      </c>
      <c r="T179" s="186">
        <f t="shared" si="52"/>
        <v>0</v>
      </c>
      <c r="U179" s="293"/>
      <c r="V179" s="311"/>
    </row>
    <row r="180" spans="1:22" ht="18.75" x14ac:dyDescent="0.2">
      <c r="A180" s="11" t="s">
        <v>273</v>
      </c>
      <c r="B180" s="60"/>
      <c r="C180" s="111">
        <v>99986.57</v>
      </c>
      <c r="D180" s="237">
        <v>99986.57</v>
      </c>
      <c r="E180" s="19">
        <f t="shared" si="53"/>
        <v>0</v>
      </c>
      <c r="F180" s="143"/>
      <c r="G180" s="20">
        <f t="shared" si="47"/>
        <v>0</v>
      </c>
      <c r="H180" s="233"/>
      <c r="I180" s="111"/>
      <c r="J180" s="143"/>
      <c r="K180" s="20">
        <f t="shared" si="48"/>
        <v>0</v>
      </c>
      <c r="L180" s="168"/>
      <c r="M180" s="169"/>
      <c r="N180" s="33">
        <f t="shared" si="49"/>
        <v>0</v>
      </c>
      <c r="O180" s="237"/>
      <c r="P180" s="152"/>
      <c r="Q180" s="21">
        <f t="shared" si="50"/>
        <v>0</v>
      </c>
      <c r="R180" s="174"/>
      <c r="S180" s="113">
        <f t="shared" si="51"/>
        <v>0</v>
      </c>
      <c r="T180" s="186">
        <f t="shared" si="52"/>
        <v>0</v>
      </c>
      <c r="U180" s="293"/>
      <c r="V180" s="311"/>
    </row>
    <row r="181" spans="1:22" ht="18.75" x14ac:dyDescent="0.2">
      <c r="A181" s="11" t="s">
        <v>223</v>
      </c>
      <c r="B181" s="60"/>
      <c r="C181" s="111"/>
      <c r="D181" s="236"/>
      <c r="E181" s="19">
        <f t="shared" si="53"/>
        <v>0</v>
      </c>
      <c r="F181" s="143"/>
      <c r="G181" s="20">
        <f t="shared" si="47"/>
        <v>0</v>
      </c>
      <c r="H181" s="233"/>
      <c r="I181" s="111"/>
      <c r="J181" s="144"/>
      <c r="K181" s="20">
        <f t="shared" si="48"/>
        <v>0</v>
      </c>
      <c r="L181" s="167"/>
      <c r="M181" s="170"/>
      <c r="N181" s="33">
        <f t="shared" si="49"/>
        <v>0</v>
      </c>
      <c r="O181" s="236"/>
      <c r="P181" s="163"/>
      <c r="Q181" s="21">
        <f t="shared" si="50"/>
        <v>0</v>
      </c>
      <c r="R181" s="179"/>
      <c r="S181" s="113">
        <f t="shared" si="51"/>
        <v>0</v>
      </c>
      <c r="T181" s="186">
        <f t="shared" si="52"/>
        <v>0</v>
      </c>
      <c r="U181" s="293"/>
      <c r="V181" s="311"/>
    </row>
    <row r="182" spans="1:22" ht="18.75" x14ac:dyDescent="0.2">
      <c r="A182" s="11" t="s">
        <v>271</v>
      </c>
      <c r="B182" s="60"/>
      <c r="C182" s="111"/>
      <c r="D182" s="236"/>
      <c r="E182" s="19">
        <f t="shared" si="53"/>
        <v>0</v>
      </c>
      <c r="F182" s="143"/>
      <c r="G182" s="20">
        <f t="shared" si="47"/>
        <v>0</v>
      </c>
      <c r="H182" s="233"/>
      <c r="I182" s="111"/>
      <c r="J182" s="144"/>
      <c r="K182" s="20">
        <f t="shared" si="48"/>
        <v>0</v>
      </c>
      <c r="L182" s="167"/>
      <c r="M182" s="170"/>
      <c r="N182" s="33">
        <f t="shared" si="49"/>
        <v>0</v>
      </c>
      <c r="O182" s="236"/>
      <c r="P182" s="163"/>
      <c r="Q182" s="21">
        <f t="shared" si="50"/>
        <v>0</v>
      </c>
      <c r="R182" s="179"/>
      <c r="S182" s="113">
        <f t="shared" si="51"/>
        <v>0</v>
      </c>
      <c r="T182" s="186">
        <f t="shared" si="52"/>
        <v>0</v>
      </c>
      <c r="U182" s="293"/>
      <c r="V182" s="311"/>
    </row>
    <row r="183" spans="1:22" ht="18.75" x14ac:dyDescent="0.2">
      <c r="A183" s="11"/>
      <c r="B183" s="60"/>
      <c r="C183" s="111"/>
      <c r="D183" s="236"/>
      <c r="E183" s="19">
        <f t="shared" si="53"/>
        <v>0</v>
      </c>
      <c r="F183" s="143"/>
      <c r="G183" s="20">
        <f t="shared" si="47"/>
        <v>0</v>
      </c>
      <c r="H183" s="233"/>
      <c r="I183" s="111"/>
      <c r="J183" s="144"/>
      <c r="K183" s="20">
        <f t="shared" si="48"/>
        <v>0</v>
      </c>
      <c r="L183" s="167"/>
      <c r="M183" s="170"/>
      <c r="N183" s="33">
        <f t="shared" si="49"/>
        <v>0</v>
      </c>
      <c r="O183" s="236"/>
      <c r="P183" s="163"/>
      <c r="Q183" s="21">
        <f t="shared" si="50"/>
        <v>0</v>
      </c>
      <c r="R183" s="179"/>
      <c r="S183" s="113">
        <f t="shared" si="51"/>
        <v>0</v>
      </c>
      <c r="T183" s="186">
        <f t="shared" si="52"/>
        <v>0</v>
      </c>
      <c r="U183" s="293"/>
      <c r="V183" s="311"/>
    </row>
    <row r="184" spans="1:22" ht="18.75" x14ac:dyDescent="0.2">
      <c r="A184" s="193" t="s">
        <v>22</v>
      </c>
      <c r="B184" s="190">
        <v>226</v>
      </c>
      <c r="C184" s="200">
        <f t="shared" ref="C184" si="54">SUM(C185:C194)</f>
        <v>0</v>
      </c>
      <c r="D184" s="200">
        <v>0</v>
      </c>
      <c r="E184" s="200">
        <f t="shared" ref="E184:V184" si="55">SUM(E185:E194)</f>
        <v>0</v>
      </c>
      <c r="F184" s="200">
        <f t="shared" si="55"/>
        <v>0</v>
      </c>
      <c r="G184" s="200">
        <f t="shared" si="55"/>
        <v>0</v>
      </c>
      <c r="H184" s="200">
        <f t="shared" si="55"/>
        <v>0</v>
      </c>
      <c r="I184" s="200">
        <f t="shared" si="55"/>
        <v>0</v>
      </c>
      <c r="J184" s="200">
        <f t="shared" si="55"/>
        <v>0</v>
      </c>
      <c r="K184" s="200">
        <f t="shared" si="55"/>
        <v>0</v>
      </c>
      <c r="L184" s="200">
        <f t="shared" si="55"/>
        <v>0</v>
      </c>
      <c r="M184" s="200">
        <f t="shared" si="55"/>
        <v>0</v>
      </c>
      <c r="N184" s="200">
        <f t="shared" si="55"/>
        <v>0</v>
      </c>
      <c r="O184" s="200">
        <f t="shared" si="55"/>
        <v>0</v>
      </c>
      <c r="P184" s="200">
        <f t="shared" si="55"/>
        <v>0</v>
      </c>
      <c r="Q184" s="200">
        <f t="shared" si="55"/>
        <v>0</v>
      </c>
      <c r="R184" s="200">
        <f t="shared" si="55"/>
        <v>0</v>
      </c>
      <c r="S184" s="200">
        <f t="shared" si="55"/>
        <v>0</v>
      </c>
      <c r="T184" s="200">
        <f t="shared" si="55"/>
        <v>0</v>
      </c>
      <c r="U184" s="292">
        <f t="shared" si="55"/>
        <v>0</v>
      </c>
      <c r="V184" s="292">
        <f t="shared" si="55"/>
        <v>0</v>
      </c>
    </row>
    <row r="185" spans="1:22" ht="18.75" x14ac:dyDescent="0.2">
      <c r="A185" s="85" t="s">
        <v>86</v>
      </c>
      <c r="B185" s="60"/>
      <c r="C185" s="111"/>
      <c r="D185" s="237"/>
      <c r="E185" s="19">
        <f>C185-D185</f>
        <v>0</v>
      </c>
      <c r="F185" s="143"/>
      <c r="G185" s="20">
        <f t="shared" si="47"/>
        <v>0</v>
      </c>
      <c r="H185" s="123"/>
      <c r="I185" s="111"/>
      <c r="J185" s="143"/>
      <c r="K185" s="20">
        <f t="shared" si="48"/>
        <v>0</v>
      </c>
      <c r="L185" s="168"/>
      <c r="M185" s="169"/>
      <c r="N185" s="33">
        <v>0</v>
      </c>
      <c r="O185" s="237"/>
      <c r="P185" s="152"/>
      <c r="Q185" s="21">
        <f t="shared" si="50"/>
        <v>0</v>
      </c>
      <c r="R185" s="174"/>
      <c r="S185" s="113">
        <f t="shared" si="51"/>
        <v>0</v>
      </c>
      <c r="T185" s="186">
        <f t="shared" si="52"/>
        <v>0</v>
      </c>
      <c r="U185" s="5"/>
      <c r="V185" s="309"/>
    </row>
    <row r="186" spans="1:22" ht="18.75" x14ac:dyDescent="0.2">
      <c r="A186" s="85" t="s">
        <v>87</v>
      </c>
      <c r="B186" s="60"/>
      <c r="C186" s="111"/>
      <c r="D186" s="237"/>
      <c r="E186" s="19">
        <f>C186-D186</f>
        <v>0</v>
      </c>
      <c r="F186" s="143"/>
      <c r="G186" s="20">
        <f t="shared" si="47"/>
        <v>0</v>
      </c>
      <c r="H186" s="123"/>
      <c r="I186" s="111"/>
      <c r="J186" s="143"/>
      <c r="K186" s="20">
        <f t="shared" si="48"/>
        <v>0</v>
      </c>
      <c r="L186" s="168"/>
      <c r="M186" s="169"/>
      <c r="N186" s="33">
        <v>0</v>
      </c>
      <c r="O186" s="237"/>
      <c r="P186" s="152"/>
      <c r="Q186" s="21">
        <f t="shared" si="50"/>
        <v>0</v>
      </c>
      <c r="R186" s="174"/>
      <c r="S186" s="113">
        <f t="shared" si="51"/>
        <v>0</v>
      </c>
      <c r="T186" s="186">
        <f t="shared" si="52"/>
        <v>0</v>
      </c>
      <c r="U186" s="5"/>
      <c r="V186" s="309"/>
    </row>
    <row r="187" spans="1:22" ht="18.75" x14ac:dyDescent="0.2">
      <c r="A187" s="86" t="s">
        <v>57</v>
      </c>
      <c r="B187" s="60"/>
      <c r="C187" s="111"/>
      <c r="D187" s="237"/>
      <c r="E187" s="19">
        <f>C187-D187</f>
        <v>0</v>
      </c>
      <c r="F187" s="143"/>
      <c r="G187" s="20">
        <f t="shared" si="47"/>
        <v>0</v>
      </c>
      <c r="H187" s="123"/>
      <c r="I187" s="111"/>
      <c r="J187" s="143"/>
      <c r="K187" s="20">
        <f t="shared" si="48"/>
        <v>0</v>
      </c>
      <c r="L187" s="168"/>
      <c r="M187" s="169"/>
      <c r="N187" s="33">
        <f t="shared" si="49"/>
        <v>0</v>
      </c>
      <c r="O187" s="237"/>
      <c r="P187" s="152"/>
      <c r="Q187" s="21">
        <f t="shared" si="50"/>
        <v>0</v>
      </c>
      <c r="R187" s="174"/>
      <c r="S187" s="113">
        <f t="shared" si="51"/>
        <v>0</v>
      </c>
      <c r="T187" s="186">
        <f t="shared" si="52"/>
        <v>0</v>
      </c>
      <c r="U187" s="5"/>
      <c r="V187" s="309"/>
    </row>
    <row r="188" spans="1:22" ht="18.75" x14ac:dyDescent="0.2">
      <c r="A188" s="86" t="s">
        <v>117</v>
      </c>
      <c r="B188" s="60"/>
      <c r="C188" s="111"/>
      <c r="D188" s="237"/>
      <c r="E188" s="19">
        <f t="shared" ref="E188:E194" si="56">C188-D188</f>
        <v>0</v>
      </c>
      <c r="F188" s="143"/>
      <c r="G188" s="20">
        <f t="shared" si="47"/>
        <v>0</v>
      </c>
      <c r="H188" s="126"/>
      <c r="I188" s="111"/>
      <c r="J188" s="143"/>
      <c r="K188" s="20">
        <f t="shared" si="48"/>
        <v>0</v>
      </c>
      <c r="L188" s="168"/>
      <c r="M188" s="169"/>
      <c r="N188" s="33">
        <f t="shared" si="49"/>
        <v>0</v>
      </c>
      <c r="O188" s="237"/>
      <c r="P188" s="152"/>
      <c r="Q188" s="21">
        <f t="shared" si="50"/>
        <v>0</v>
      </c>
      <c r="R188" s="174"/>
      <c r="S188" s="113">
        <f t="shared" si="51"/>
        <v>0</v>
      </c>
      <c r="T188" s="186">
        <f t="shared" si="52"/>
        <v>0</v>
      </c>
      <c r="U188" s="293"/>
      <c r="V188" s="311"/>
    </row>
    <row r="189" spans="1:22" ht="56.25" x14ac:dyDescent="0.2">
      <c r="A189" s="82" t="s">
        <v>131</v>
      </c>
      <c r="B189" s="60"/>
      <c r="C189" s="111"/>
      <c r="D189" s="237"/>
      <c r="E189" s="19">
        <f t="shared" si="56"/>
        <v>0</v>
      </c>
      <c r="F189" s="143"/>
      <c r="G189" s="20">
        <f t="shared" si="47"/>
        <v>0</v>
      </c>
      <c r="H189" s="126"/>
      <c r="I189" s="111"/>
      <c r="J189" s="143"/>
      <c r="K189" s="20">
        <f t="shared" si="48"/>
        <v>0</v>
      </c>
      <c r="L189" s="168"/>
      <c r="M189" s="169"/>
      <c r="N189" s="33">
        <f t="shared" si="49"/>
        <v>0</v>
      </c>
      <c r="O189" s="237"/>
      <c r="P189" s="152"/>
      <c r="Q189" s="21">
        <f t="shared" si="50"/>
        <v>0</v>
      </c>
      <c r="R189" s="174"/>
      <c r="S189" s="113">
        <f t="shared" si="51"/>
        <v>0</v>
      </c>
      <c r="T189" s="186">
        <f t="shared" si="52"/>
        <v>0</v>
      </c>
      <c r="U189" s="293"/>
      <c r="V189" s="311"/>
    </row>
    <row r="190" spans="1:22" ht="18.75" x14ac:dyDescent="0.2">
      <c r="A190" s="82" t="s">
        <v>216</v>
      </c>
      <c r="B190" s="60"/>
      <c r="C190" s="111"/>
      <c r="D190" s="237"/>
      <c r="E190" s="19">
        <f t="shared" si="56"/>
        <v>0</v>
      </c>
      <c r="F190" s="143"/>
      <c r="G190" s="20">
        <f t="shared" si="47"/>
        <v>0</v>
      </c>
      <c r="H190" s="126"/>
      <c r="I190" s="111"/>
      <c r="J190" s="143"/>
      <c r="K190" s="20">
        <f t="shared" si="48"/>
        <v>0</v>
      </c>
      <c r="L190" s="168"/>
      <c r="M190" s="169"/>
      <c r="N190" s="33">
        <f t="shared" si="49"/>
        <v>0</v>
      </c>
      <c r="O190" s="237"/>
      <c r="P190" s="152"/>
      <c r="Q190" s="21">
        <f t="shared" si="50"/>
        <v>0</v>
      </c>
      <c r="R190" s="174"/>
      <c r="S190" s="113">
        <f t="shared" si="51"/>
        <v>0</v>
      </c>
      <c r="T190" s="186">
        <f t="shared" si="52"/>
        <v>0</v>
      </c>
      <c r="U190" s="293"/>
      <c r="V190" s="311"/>
    </row>
    <row r="191" spans="1:22" ht="18.75" x14ac:dyDescent="0.2">
      <c r="A191" s="82" t="s">
        <v>267</v>
      </c>
      <c r="B191" s="60"/>
      <c r="C191" s="111"/>
      <c r="D191" s="237"/>
      <c r="E191" s="19">
        <f t="shared" si="56"/>
        <v>0</v>
      </c>
      <c r="F191" s="143"/>
      <c r="G191" s="20">
        <f t="shared" si="47"/>
        <v>0</v>
      </c>
      <c r="H191" s="126"/>
      <c r="I191" s="111"/>
      <c r="J191" s="143"/>
      <c r="K191" s="20">
        <f t="shared" si="48"/>
        <v>0</v>
      </c>
      <c r="L191" s="168"/>
      <c r="M191" s="169"/>
      <c r="N191" s="33">
        <f t="shared" si="49"/>
        <v>0</v>
      </c>
      <c r="O191" s="237"/>
      <c r="P191" s="152"/>
      <c r="Q191" s="21">
        <f t="shared" si="50"/>
        <v>0</v>
      </c>
      <c r="R191" s="174"/>
      <c r="S191" s="113">
        <f t="shared" si="51"/>
        <v>0</v>
      </c>
      <c r="T191" s="186">
        <f t="shared" si="52"/>
        <v>0</v>
      </c>
      <c r="U191" s="293"/>
      <c r="V191" s="311"/>
    </row>
    <row r="192" spans="1:22" ht="18.75" x14ac:dyDescent="0.2">
      <c r="A192" s="82"/>
      <c r="B192" s="60"/>
      <c r="C192" s="111"/>
      <c r="D192" s="237"/>
      <c r="E192" s="19">
        <f t="shared" si="56"/>
        <v>0</v>
      </c>
      <c r="F192" s="143"/>
      <c r="G192" s="20">
        <f t="shared" si="47"/>
        <v>0</v>
      </c>
      <c r="H192" s="126"/>
      <c r="I192" s="111"/>
      <c r="J192" s="143"/>
      <c r="K192" s="20">
        <f t="shared" si="48"/>
        <v>0</v>
      </c>
      <c r="L192" s="168"/>
      <c r="M192" s="169"/>
      <c r="N192" s="33">
        <f t="shared" si="49"/>
        <v>0</v>
      </c>
      <c r="O192" s="237"/>
      <c r="P192" s="152"/>
      <c r="Q192" s="21">
        <f t="shared" si="50"/>
        <v>0</v>
      </c>
      <c r="R192" s="174"/>
      <c r="S192" s="113">
        <f t="shared" si="51"/>
        <v>0</v>
      </c>
      <c r="T192" s="186">
        <f t="shared" si="52"/>
        <v>0</v>
      </c>
      <c r="U192" s="293"/>
      <c r="V192" s="311"/>
    </row>
    <row r="193" spans="1:22" ht="18.75" x14ac:dyDescent="0.2">
      <c r="A193" s="82"/>
      <c r="B193" s="60"/>
      <c r="C193" s="111"/>
      <c r="D193" s="237"/>
      <c r="E193" s="19">
        <f t="shared" si="56"/>
        <v>0</v>
      </c>
      <c r="F193" s="143"/>
      <c r="G193" s="20">
        <f t="shared" si="47"/>
        <v>0</v>
      </c>
      <c r="H193" s="126"/>
      <c r="I193" s="111"/>
      <c r="J193" s="143"/>
      <c r="K193" s="20">
        <f t="shared" si="48"/>
        <v>0</v>
      </c>
      <c r="L193" s="168"/>
      <c r="M193" s="169"/>
      <c r="N193" s="33">
        <f t="shared" si="49"/>
        <v>0</v>
      </c>
      <c r="O193" s="237"/>
      <c r="P193" s="152"/>
      <c r="Q193" s="21">
        <f t="shared" si="50"/>
        <v>0</v>
      </c>
      <c r="R193" s="174"/>
      <c r="S193" s="113">
        <f t="shared" si="51"/>
        <v>0</v>
      </c>
      <c r="T193" s="186">
        <f t="shared" si="52"/>
        <v>0</v>
      </c>
      <c r="U193" s="293"/>
      <c r="V193" s="311"/>
    </row>
    <row r="194" spans="1:22" ht="18.75" x14ac:dyDescent="0.2">
      <c r="A194" s="82"/>
      <c r="B194" s="60"/>
      <c r="C194" s="111"/>
      <c r="D194" s="237"/>
      <c r="E194" s="19">
        <f t="shared" si="56"/>
        <v>0</v>
      </c>
      <c r="F194" s="143"/>
      <c r="G194" s="20">
        <f t="shared" si="47"/>
        <v>0</v>
      </c>
      <c r="H194" s="126"/>
      <c r="I194" s="111"/>
      <c r="J194" s="143"/>
      <c r="K194" s="20">
        <f t="shared" si="48"/>
        <v>0</v>
      </c>
      <c r="L194" s="168"/>
      <c r="M194" s="169"/>
      <c r="N194" s="33">
        <f t="shared" si="49"/>
        <v>0</v>
      </c>
      <c r="O194" s="237"/>
      <c r="P194" s="152"/>
      <c r="Q194" s="21">
        <f t="shared" si="50"/>
        <v>0</v>
      </c>
      <c r="R194" s="174"/>
      <c r="S194" s="113">
        <f t="shared" si="51"/>
        <v>0</v>
      </c>
      <c r="T194" s="186">
        <f t="shared" si="52"/>
        <v>0</v>
      </c>
      <c r="U194" s="293"/>
      <c r="V194" s="311"/>
    </row>
    <row r="195" spans="1:22" ht="18.75" x14ac:dyDescent="0.2">
      <c r="A195" s="207" t="s">
        <v>24</v>
      </c>
      <c r="B195" s="190">
        <v>310</v>
      </c>
      <c r="C195" s="195">
        <f t="shared" ref="C195" si="57">SUM(C196:C198)</f>
        <v>0</v>
      </c>
      <c r="D195" s="195">
        <v>0</v>
      </c>
      <c r="E195" s="195">
        <f t="shared" ref="E195:V195" si="58">SUM(E196:E198)</f>
        <v>0</v>
      </c>
      <c r="F195" s="195">
        <f t="shared" si="58"/>
        <v>0</v>
      </c>
      <c r="G195" s="195">
        <f t="shared" si="58"/>
        <v>0</v>
      </c>
      <c r="H195" s="195">
        <f t="shared" si="58"/>
        <v>0</v>
      </c>
      <c r="I195" s="195">
        <f t="shared" si="58"/>
        <v>0</v>
      </c>
      <c r="J195" s="195">
        <f t="shared" si="58"/>
        <v>0</v>
      </c>
      <c r="K195" s="195">
        <f t="shared" si="58"/>
        <v>0</v>
      </c>
      <c r="L195" s="195">
        <f t="shared" si="58"/>
        <v>0</v>
      </c>
      <c r="M195" s="195">
        <f t="shared" si="58"/>
        <v>0</v>
      </c>
      <c r="N195" s="195">
        <f t="shared" si="58"/>
        <v>0</v>
      </c>
      <c r="O195" s="195">
        <f t="shared" si="58"/>
        <v>0</v>
      </c>
      <c r="P195" s="195">
        <f t="shared" si="58"/>
        <v>0</v>
      </c>
      <c r="Q195" s="195">
        <f t="shared" si="58"/>
        <v>0</v>
      </c>
      <c r="R195" s="195">
        <f t="shared" si="58"/>
        <v>0</v>
      </c>
      <c r="S195" s="195">
        <f t="shared" si="58"/>
        <v>0</v>
      </c>
      <c r="T195" s="195">
        <f t="shared" si="58"/>
        <v>0</v>
      </c>
      <c r="U195" s="231">
        <f t="shared" si="58"/>
        <v>0</v>
      </c>
      <c r="V195" s="231">
        <f t="shared" si="58"/>
        <v>0</v>
      </c>
    </row>
    <row r="196" spans="1:22" ht="18.75" x14ac:dyDescent="0.2">
      <c r="A196" s="86" t="s">
        <v>129</v>
      </c>
      <c r="B196" s="60"/>
      <c r="C196" s="111"/>
      <c r="D196" s="237"/>
      <c r="E196" s="19">
        <f>C196-D196</f>
        <v>0</v>
      </c>
      <c r="F196" s="143"/>
      <c r="G196" s="20">
        <f t="shared" si="47"/>
        <v>0</v>
      </c>
      <c r="H196" s="123"/>
      <c r="I196" s="111"/>
      <c r="J196" s="143"/>
      <c r="K196" s="20">
        <f t="shared" si="48"/>
        <v>0</v>
      </c>
      <c r="L196" s="168"/>
      <c r="M196" s="169"/>
      <c r="N196" s="33">
        <f t="shared" si="49"/>
        <v>0</v>
      </c>
      <c r="O196" s="237"/>
      <c r="P196" s="152"/>
      <c r="Q196" s="21">
        <f t="shared" si="50"/>
        <v>0</v>
      </c>
      <c r="R196" s="174"/>
      <c r="S196" s="113">
        <f t="shared" si="51"/>
        <v>0</v>
      </c>
      <c r="T196" s="186">
        <f t="shared" si="52"/>
        <v>0</v>
      </c>
      <c r="U196" s="5"/>
      <c r="V196" s="309"/>
    </row>
    <row r="197" spans="1:22" ht="18.75" x14ac:dyDescent="0.2">
      <c r="A197" s="97" t="s">
        <v>136</v>
      </c>
      <c r="B197" s="60"/>
      <c r="C197" s="111"/>
      <c r="D197" s="237"/>
      <c r="E197" s="19">
        <f>C197-D197</f>
        <v>0</v>
      </c>
      <c r="F197" s="143"/>
      <c r="G197" s="20">
        <f t="shared" si="47"/>
        <v>0</v>
      </c>
      <c r="H197" s="123"/>
      <c r="I197" s="111"/>
      <c r="J197" s="143"/>
      <c r="K197" s="20">
        <f t="shared" si="48"/>
        <v>0</v>
      </c>
      <c r="L197" s="168"/>
      <c r="M197" s="169"/>
      <c r="N197" s="33">
        <f t="shared" si="49"/>
        <v>0</v>
      </c>
      <c r="O197" s="237"/>
      <c r="P197" s="152"/>
      <c r="Q197" s="21">
        <f t="shared" si="50"/>
        <v>0</v>
      </c>
      <c r="R197" s="174"/>
      <c r="S197" s="113">
        <f t="shared" si="51"/>
        <v>0</v>
      </c>
      <c r="T197" s="186">
        <f t="shared" si="52"/>
        <v>0</v>
      </c>
      <c r="U197" s="5"/>
      <c r="V197" s="309"/>
    </row>
    <row r="198" spans="1:22" ht="18.75" x14ac:dyDescent="0.2">
      <c r="A198" s="86"/>
      <c r="B198" s="60"/>
      <c r="C198" s="111"/>
      <c r="D198" s="237"/>
      <c r="E198" s="19">
        <f>C198-D198</f>
        <v>0</v>
      </c>
      <c r="F198" s="143"/>
      <c r="G198" s="20">
        <f t="shared" si="47"/>
        <v>0</v>
      </c>
      <c r="H198" s="123"/>
      <c r="I198" s="111"/>
      <c r="J198" s="143"/>
      <c r="K198" s="20">
        <f t="shared" si="48"/>
        <v>0</v>
      </c>
      <c r="L198" s="168"/>
      <c r="M198" s="169"/>
      <c r="N198" s="33">
        <f t="shared" si="49"/>
        <v>0</v>
      </c>
      <c r="O198" s="237"/>
      <c r="P198" s="152"/>
      <c r="Q198" s="21">
        <f t="shared" si="50"/>
        <v>0</v>
      </c>
      <c r="R198" s="174"/>
      <c r="S198" s="113">
        <f t="shared" si="51"/>
        <v>0</v>
      </c>
      <c r="T198" s="186">
        <f t="shared" si="52"/>
        <v>0</v>
      </c>
      <c r="U198" s="5"/>
      <c r="V198" s="309"/>
    </row>
    <row r="199" spans="1:22" ht="18.75" x14ac:dyDescent="0.2">
      <c r="A199" s="208" t="s">
        <v>78</v>
      </c>
      <c r="B199" s="190">
        <v>344</v>
      </c>
      <c r="C199" s="199"/>
      <c r="D199" s="202"/>
      <c r="E199" s="251">
        <f>C199-D199</f>
        <v>0</v>
      </c>
      <c r="F199" s="192"/>
      <c r="G199" s="201">
        <f t="shared" si="47"/>
        <v>0</v>
      </c>
      <c r="H199" s="201"/>
      <c r="I199" s="199"/>
      <c r="J199" s="192"/>
      <c r="K199" s="204">
        <f t="shared" si="48"/>
        <v>0</v>
      </c>
      <c r="L199" s="202"/>
      <c r="M199" s="211"/>
      <c r="N199" s="200">
        <f t="shared" si="49"/>
        <v>0</v>
      </c>
      <c r="O199" s="202"/>
      <c r="P199" s="202"/>
      <c r="Q199" s="202">
        <f t="shared" si="50"/>
        <v>0</v>
      </c>
      <c r="R199" s="204"/>
      <c r="S199" s="202">
        <f t="shared" si="51"/>
        <v>0</v>
      </c>
      <c r="T199" s="195">
        <f t="shared" si="52"/>
        <v>0</v>
      </c>
      <c r="U199" s="294"/>
      <c r="V199" s="294"/>
    </row>
    <row r="200" spans="1:22" ht="18.75" x14ac:dyDescent="0.2">
      <c r="A200" s="208" t="s">
        <v>26</v>
      </c>
      <c r="B200" s="190">
        <v>346</v>
      </c>
      <c r="C200" s="200">
        <f t="shared" ref="C200" si="59">SUM(C201:C204)</f>
        <v>0</v>
      </c>
      <c r="D200" s="200">
        <v>0</v>
      </c>
      <c r="E200" s="200">
        <f t="shared" ref="E200:V200" si="60">SUM(E201:E204)</f>
        <v>0</v>
      </c>
      <c r="F200" s="200">
        <f t="shared" si="60"/>
        <v>0</v>
      </c>
      <c r="G200" s="200">
        <f t="shared" si="60"/>
        <v>0</v>
      </c>
      <c r="H200" s="200">
        <f t="shared" si="60"/>
        <v>0</v>
      </c>
      <c r="I200" s="200">
        <f t="shared" si="60"/>
        <v>0</v>
      </c>
      <c r="J200" s="200">
        <f t="shared" si="60"/>
        <v>0</v>
      </c>
      <c r="K200" s="200">
        <f t="shared" si="60"/>
        <v>0</v>
      </c>
      <c r="L200" s="200">
        <f t="shared" si="60"/>
        <v>0</v>
      </c>
      <c r="M200" s="200">
        <f t="shared" si="60"/>
        <v>0</v>
      </c>
      <c r="N200" s="200">
        <f t="shared" si="60"/>
        <v>0</v>
      </c>
      <c r="O200" s="200">
        <f t="shared" si="60"/>
        <v>0</v>
      </c>
      <c r="P200" s="200">
        <f t="shared" si="60"/>
        <v>0</v>
      </c>
      <c r="Q200" s="200">
        <f t="shared" si="60"/>
        <v>0</v>
      </c>
      <c r="R200" s="200">
        <f t="shared" si="60"/>
        <v>0</v>
      </c>
      <c r="S200" s="200">
        <f t="shared" si="60"/>
        <v>0</v>
      </c>
      <c r="T200" s="200">
        <f t="shared" si="60"/>
        <v>0</v>
      </c>
      <c r="U200" s="292">
        <f t="shared" si="60"/>
        <v>0</v>
      </c>
      <c r="V200" s="292">
        <f t="shared" si="60"/>
        <v>0</v>
      </c>
    </row>
    <row r="201" spans="1:22" ht="37.5" x14ac:dyDescent="0.2">
      <c r="A201" s="97" t="s">
        <v>224</v>
      </c>
      <c r="B201" s="60"/>
      <c r="C201" s="111"/>
      <c r="D201" s="237"/>
      <c r="E201" s="19">
        <f>C201-D201</f>
        <v>0</v>
      </c>
      <c r="F201" s="143"/>
      <c r="G201" s="20">
        <f t="shared" si="47"/>
        <v>0</v>
      </c>
      <c r="H201" s="123"/>
      <c r="I201" s="111"/>
      <c r="J201" s="143"/>
      <c r="K201" s="20">
        <f t="shared" si="48"/>
        <v>0</v>
      </c>
      <c r="L201" s="168"/>
      <c r="M201" s="169"/>
      <c r="N201" s="33">
        <f t="shared" si="49"/>
        <v>0</v>
      </c>
      <c r="O201" s="237"/>
      <c r="P201" s="152"/>
      <c r="Q201" s="21">
        <f t="shared" si="50"/>
        <v>0</v>
      </c>
      <c r="R201" s="174"/>
      <c r="S201" s="113">
        <f t="shared" si="51"/>
        <v>0</v>
      </c>
      <c r="T201" s="186">
        <f>I201-L201</f>
        <v>0</v>
      </c>
      <c r="U201" s="5"/>
      <c r="V201" s="309"/>
    </row>
    <row r="202" spans="1:22" ht="18.75" x14ac:dyDescent="0.3">
      <c r="A202" s="12" t="s">
        <v>272</v>
      </c>
      <c r="B202" s="60"/>
      <c r="C202" s="111"/>
      <c r="D202" s="237"/>
      <c r="E202" s="19">
        <f>C202-D202</f>
        <v>0</v>
      </c>
      <c r="F202" s="143"/>
      <c r="G202" s="20">
        <f t="shared" si="47"/>
        <v>0</v>
      </c>
      <c r="H202" s="123"/>
      <c r="I202" s="111"/>
      <c r="J202" s="143"/>
      <c r="K202" s="20">
        <f t="shared" si="48"/>
        <v>0</v>
      </c>
      <c r="L202" s="168"/>
      <c r="M202" s="169"/>
      <c r="N202" s="33">
        <f t="shared" si="49"/>
        <v>0</v>
      </c>
      <c r="O202" s="237"/>
      <c r="P202" s="152"/>
      <c r="Q202" s="21">
        <f t="shared" si="50"/>
        <v>0</v>
      </c>
      <c r="R202" s="174"/>
      <c r="S202" s="113">
        <f t="shared" si="51"/>
        <v>0</v>
      </c>
      <c r="T202" s="186">
        <f>I202-L202</f>
        <v>0</v>
      </c>
      <c r="U202" s="5"/>
      <c r="V202" s="309"/>
    </row>
    <row r="203" spans="1:22" ht="18.75" x14ac:dyDescent="0.2">
      <c r="A203" s="97" t="s">
        <v>123</v>
      </c>
      <c r="B203" s="60"/>
      <c r="C203" s="111"/>
      <c r="D203" s="237"/>
      <c r="E203" s="19">
        <f>C203-D203</f>
        <v>0</v>
      </c>
      <c r="F203" s="143"/>
      <c r="G203" s="20">
        <f t="shared" si="47"/>
        <v>0</v>
      </c>
      <c r="H203" s="123"/>
      <c r="I203" s="111"/>
      <c r="J203" s="143"/>
      <c r="K203" s="20">
        <f t="shared" si="48"/>
        <v>0</v>
      </c>
      <c r="L203" s="168"/>
      <c r="M203" s="169"/>
      <c r="N203" s="33">
        <f t="shared" si="49"/>
        <v>0</v>
      </c>
      <c r="O203" s="237"/>
      <c r="P203" s="152"/>
      <c r="Q203" s="21">
        <f t="shared" si="50"/>
        <v>0</v>
      </c>
      <c r="R203" s="174"/>
      <c r="S203" s="113">
        <f t="shared" si="51"/>
        <v>0</v>
      </c>
      <c r="T203" s="186">
        <f>I203-L203</f>
        <v>0</v>
      </c>
      <c r="U203" s="5"/>
      <c r="V203" s="309"/>
    </row>
    <row r="204" spans="1:22" ht="19.5" thickBot="1" x14ac:dyDescent="0.25">
      <c r="A204" s="100" t="s">
        <v>130</v>
      </c>
      <c r="B204" s="64"/>
      <c r="C204" s="112"/>
      <c r="D204" s="238"/>
      <c r="E204" s="37">
        <f>C204-D204</f>
        <v>0</v>
      </c>
      <c r="F204" s="232"/>
      <c r="G204" s="63">
        <f t="shared" si="47"/>
        <v>0</v>
      </c>
      <c r="H204" s="127"/>
      <c r="I204" s="112"/>
      <c r="J204" s="145"/>
      <c r="K204" s="63">
        <f t="shared" si="48"/>
        <v>0</v>
      </c>
      <c r="L204" s="158"/>
      <c r="M204" s="171"/>
      <c r="N204" s="318">
        <f t="shared" si="49"/>
        <v>0</v>
      </c>
      <c r="O204" s="238"/>
      <c r="P204" s="164"/>
      <c r="Q204" s="25">
        <f t="shared" si="50"/>
        <v>0</v>
      </c>
      <c r="R204" s="176"/>
      <c r="S204" s="113">
        <f t="shared" si="51"/>
        <v>0</v>
      </c>
      <c r="T204" s="186">
        <f>I204-L204</f>
        <v>0</v>
      </c>
      <c r="U204" s="273"/>
      <c r="V204" s="312"/>
    </row>
    <row r="205" spans="1:22" ht="37.5" x14ac:dyDescent="0.2">
      <c r="A205" s="95" t="s">
        <v>53</v>
      </c>
      <c r="B205" s="96"/>
      <c r="C205" s="35">
        <f t="shared" ref="C205" si="61">C164+C184+C195+C199+C200</f>
        <v>99986.57</v>
      </c>
      <c r="D205" s="35">
        <v>99986.57</v>
      </c>
      <c r="E205" s="35">
        <f t="shared" ref="E205:V205" si="62">E164+E184+E195+E199+E200</f>
        <v>0</v>
      </c>
      <c r="F205" s="35">
        <f t="shared" si="62"/>
        <v>0</v>
      </c>
      <c r="G205" s="35">
        <f t="shared" si="62"/>
        <v>0</v>
      </c>
      <c r="H205" s="35">
        <f t="shared" si="62"/>
        <v>0</v>
      </c>
      <c r="I205" s="35">
        <f t="shared" si="62"/>
        <v>0</v>
      </c>
      <c r="J205" s="35">
        <f t="shared" si="62"/>
        <v>0</v>
      </c>
      <c r="K205" s="35">
        <f t="shared" si="62"/>
        <v>0</v>
      </c>
      <c r="L205" s="35">
        <f t="shared" si="62"/>
        <v>0</v>
      </c>
      <c r="M205" s="35">
        <f t="shared" si="62"/>
        <v>0</v>
      </c>
      <c r="N205" s="35">
        <f t="shared" si="62"/>
        <v>0</v>
      </c>
      <c r="O205" s="35">
        <f t="shared" si="62"/>
        <v>0</v>
      </c>
      <c r="P205" s="35">
        <f t="shared" si="62"/>
        <v>0</v>
      </c>
      <c r="Q205" s="35">
        <f t="shared" si="62"/>
        <v>0</v>
      </c>
      <c r="R205" s="35">
        <f t="shared" si="62"/>
        <v>0</v>
      </c>
      <c r="S205" s="301">
        <f t="shared" si="62"/>
        <v>0</v>
      </c>
      <c r="T205" s="301">
        <f t="shared" si="62"/>
        <v>0</v>
      </c>
      <c r="U205" s="302">
        <f t="shared" si="62"/>
        <v>0</v>
      </c>
      <c r="V205" s="302">
        <f t="shared" si="62"/>
        <v>0</v>
      </c>
    </row>
    <row r="206" spans="1:22" ht="64.5" customHeight="1" x14ac:dyDescent="0.3">
      <c r="A206" s="380" t="s">
        <v>253</v>
      </c>
      <c r="B206" s="380"/>
      <c r="C206" s="268"/>
      <c r="D206" s="268"/>
      <c r="E206" s="268"/>
      <c r="F206" s="268"/>
      <c r="G206" s="268"/>
      <c r="H206" s="268"/>
      <c r="I206" s="268"/>
      <c r="J206" s="268"/>
      <c r="K206" s="268"/>
      <c r="L206" s="268"/>
      <c r="M206" s="268"/>
      <c r="N206" s="268"/>
      <c r="O206" s="268"/>
      <c r="P206" s="268"/>
      <c r="Q206" s="268"/>
      <c r="R206" s="268"/>
      <c r="S206" s="268"/>
      <c r="T206" s="268"/>
      <c r="U206" s="268"/>
      <c r="V206" s="270"/>
    </row>
    <row r="207" spans="1:22" ht="18.75" x14ac:dyDescent="0.2">
      <c r="A207" s="193" t="s">
        <v>17</v>
      </c>
      <c r="B207" s="203">
        <v>225</v>
      </c>
      <c r="C207" s="202">
        <f t="shared" ref="C207" si="63">SUM(C208:C223)</f>
        <v>3597</v>
      </c>
      <c r="D207" s="202">
        <v>3597</v>
      </c>
      <c r="E207" s="202">
        <f t="shared" ref="E207:V207" si="64">SUM(E208:E223)</f>
        <v>0</v>
      </c>
      <c r="F207" s="202">
        <f t="shared" si="64"/>
        <v>0</v>
      </c>
      <c r="G207" s="202">
        <f t="shared" si="64"/>
        <v>0</v>
      </c>
      <c r="H207" s="202">
        <f t="shared" si="64"/>
        <v>0</v>
      </c>
      <c r="I207" s="202">
        <f t="shared" si="64"/>
        <v>0</v>
      </c>
      <c r="J207" s="202">
        <f t="shared" si="64"/>
        <v>0</v>
      </c>
      <c r="K207" s="202">
        <f t="shared" si="64"/>
        <v>0</v>
      </c>
      <c r="L207" s="202">
        <f t="shared" si="64"/>
        <v>0</v>
      </c>
      <c r="M207" s="202">
        <f t="shared" si="64"/>
        <v>0</v>
      </c>
      <c r="N207" s="202">
        <f t="shared" si="64"/>
        <v>0</v>
      </c>
      <c r="O207" s="202">
        <f t="shared" si="64"/>
        <v>0</v>
      </c>
      <c r="P207" s="202">
        <f t="shared" si="64"/>
        <v>0</v>
      </c>
      <c r="Q207" s="202">
        <f t="shared" si="64"/>
        <v>0</v>
      </c>
      <c r="R207" s="202">
        <f t="shared" si="64"/>
        <v>0</v>
      </c>
      <c r="S207" s="202">
        <f t="shared" si="64"/>
        <v>0</v>
      </c>
      <c r="T207" s="202">
        <f t="shared" si="64"/>
        <v>0</v>
      </c>
      <c r="U207" s="202">
        <f t="shared" si="64"/>
        <v>0</v>
      </c>
      <c r="V207" s="202">
        <f t="shared" si="64"/>
        <v>0</v>
      </c>
    </row>
    <row r="208" spans="1:22" ht="37.5" x14ac:dyDescent="0.2">
      <c r="A208" s="90" t="s">
        <v>147</v>
      </c>
      <c r="B208" s="60"/>
      <c r="C208" s="112"/>
      <c r="D208" s="237"/>
      <c r="E208" s="19">
        <f>C208-D208</f>
        <v>0</v>
      </c>
      <c r="F208" s="143"/>
      <c r="G208" s="20">
        <f>E208-F208</f>
        <v>0</v>
      </c>
      <c r="H208" s="265"/>
      <c r="I208" s="112"/>
      <c r="J208" s="143"/>
      <c r="K208" s="20">
        <f t="shared" ref="K208:K243" si="65">I208-J208</f>
        <v>0</v>
      </c>
      <c r="L208" s="158"/>
      <c r="M208" s="155"/>
      <c r="N208" s="33">
        <f t="shared" ref="N208:N243" si="66">L208-M208</f>
        <v>0</v>
      </c>
      <c r="O208" s="237"/>
      <c r="P208" s="152"/>
      <c r="Q208" s="21">
        <f t="shared" ref="Q208:Q243" si="67">O208-P208</f>
        <v>0</v>
      </c>
      <c r="R208" s="174"/>
      <c r="S208" s="113">
        <f>I208-O208-R208</f>
        <v>0</v>
      </c>
      <c r="T208" s="186">
        <f t="shared" ref="T208:T243" si="68">I208-L208</f>
        <v>0</v>
      </c>
      <c r="U208" s="3"/>
      <c r="V208" s="313"/>
    </row>
    <row r="209" spans="1:22" ht="56.25" x14ac:dyDescent="0.2">
      <c r="A209" s="86" t="s">
        <v>152</v>
      </c>
      <c r="B209" s="60"/>
      <c r="C209" s="112">
        <f>1034+26</f>
        <v>1060</v>
      </c>
      <c r="D209" s="237">
        <v>1060</v>
      </c>
      <c r="E209" s="19">
        <f>C209-D209</f>
        <v>0</v>
      </c>
      <c r="F209" s="143"/>
      <c r="G209" s="20">
        <f>E209-F209</f>
        <v>0</v>
      </c>
      <c r="H209" s="265"/>
      <c r="I209" s="112"/>
      <c r="J209" s="143"/>
      <c r="K209" s="20">
        <f t="shared" si="65"/>
        <v>0</v>
      </c>
      <c r="L209" s="158"/>
      <c r="M209" s="155"/>
      <c r="N209" s="33">
        <f t="shared" si="66"/>
        <v>0</v>
      </c>
      <c r="O209" s="237"/>
      <c r="P209" s="152"/>
      <c r="Q209" s="21">
        <f t="shared" si="67"/>
        <v>0</v>
      </c>
      <c r="R209" s="174"/>
      <c r="S209" s="113">
        <f>I209-O209-R209</f>
        <v>0</v>
      </c>
      <c r="T209" s="186">
        <f t="shared" si="68"/>
        <v>0</v>
      </c>
      <c r="U209" s="3"/>
      <c r="V209" s="313"/>
    </row>
    <row r="210" spans="1:22" ht="56.25" x14ac:dyDescent="0.2">
      <c r="A210" s="97" t="s">
        <v>269</v>
      </c>
      <c r="B210" s="60"/>
      <c r="C210" s="112"/>
      <c r="D210" s="237"/>
      <c r="E210" s="19">
        <f>C210-D210</f>
        <v>0</v>
      </c>
      <c r="F210" s="143"/>
      <c r="G210" s="20">
        <f>E210-F210</f>
        <v>0</v>
      </c>
      <c r="H210" s="265"/>
      <c r="I210" s="112"/>
      <c r="J210" s="143"/>
      <c r="K210" s="20">
        <f t="shared" si="65"/>
        <v>0</v>
      </c>
      <c r="L210" s="158"/>
      <c r="M210" s="155"/>
      <c r="N210" s="33">
        <f t="shared" si="66"/>
        <v>0</v>
      </c>
      <c r="O210" s="237"/>
      <c r="P210" s="152"/>
      <c r="Q210" s="21">
        <f t="shared" si="67"/>
        <v>0</v>
      </c>
      <c r="R210" s="174"/>
      <c r="S210" s="113">
        <f>I210-O210-R210</f>
        <v>0</v>
      </c>
      <c r="T210" s="186">
        <f t="shared" si="68"/>
        <v>0</v>
      </c>
      <c r="U210" s="3"/>
      <c r="V210" s="313"/>
    </row>
    <row r="211" spans="1:22" ht="18.75" x14ac:dyDescent="0.2">
      <c r="A211" s="86" t="s">
        <v>140</v>
      </c>
      <c r="B211" s="60"/>
      <c r="C211" s="112"/>
      <c r="D211" s="237"/>
      <c r="E211" s="19">
        <f t="shared" ref="E211:E223" si="69">C211-D211</f>
        <v>0</v>
      </c>
      <c r="F211" s="143"/>
      <c r="G211" s="20">
        <f t="shared" ref="G211:G223" si="70">E211-F211</f>
        <v>0</v>
      </c>
      <c r="H211" s="265"/>
      <c r="I211" s="112"/>
      <c r="J211" s="143"/>
      <c r="K211" s="20">
        <f t="shared" si="65"/>
        <v>0</v>
      </c>
      <c r="L211" s="158"/>
      <c r="M211" s="155"/>
      <c r="N211" s="33">
        <f t="shared" si="66"/>
        <v>0</v>
      </c>
      <c r="O211" s="237"/>
      <c r="P211" s="152"/>
      <c r="Q211" s="21">
        <f t="shared" si="67"/>
        <v>0</v>
      </c>
      <c r="R211" s="174"/>
      <c r="S211" s="113">
        <f t="shared" ref="S211:S223" si="71">I211-O211-R211</f>
        <v>0</v>
      </c>
      <c r="T211" s="186">
        <f t="shared" si="68"/>
        <v>0</v>
      </c>
      <c r="U211" s="3"/>
      <c r="V211" s="313"/>
    </row>
    <row r="212" spans="1:22" ht="18.75" x14ac:dyDescent="0.2">
      <c r="A212" s="34" t="s">
        <v>153</v>
      </c>
      <c r="B212" s="60"/>
      <c r="C212" s="112"/>
      <c r="D212" s="237"/>
      <c r="E212" s="19">
        <f t="shared" si="69"/>
        <v>0</v>
      </c>
      <c r="F212" s="143"/>
      <c r="G212" s="20">
        <f t="shared" si="70"/>
        <v>0</v>
      </c>
      <c r="H212" s="265"/>
      <c r="I212" s="112"/>
      <c r="J212" s="143"/>
      <c r="K212" s="20">
        <f t="shared" si="65"/>
        <v>0</v>
      </c>
      <c r="L212" s="158"/>
      <c r="M212" s="155"/>
      <c r="N212" s="33">
        <f t="shared" si="66"/>
        <v>0</v>
      </c>
      <c r="O212" s="237"/>
      <c r="P212" s="152"/>
      <c r="Q212" s="21">
        <f t="shared" si="67"/>
        <v>0</v>
      </c>
      <c r="R212" s="174"/>
      <c r="S212" s="113">
        <f t="shared" si="71"/>
        <v>0</v>
      </c>
      <c r="T212" s="186">
        <f t="shared" si="68"/>
        <v>0</v>
      </c>
      <c r="U212" s="3"/>
      <c r="V212" s="313"/>
    </row>
    <row r="213" spans="1:22" ht="37.5" x14ac:dyDescent="0.2">
      <c r="A213" s="97" t="s">
        <v>179</v>
      </c>
      <c r="B213" s="60"/>
      <c r="C213" s="112"/>
      <c r="D213" s="237"/>
      <c r="E213" s="19">
        <f t="shared" si="69"/>
        <v>0</v>
      </c>
      <c r="F213" s="143"/>
      <c r="G213" s="20">
        <f t="shared" si="70"/>
        <v>0</v>
      </c>
      <c r="H213" s="265"/>
      <c r="I213" s="112"/>
      <c r="J213" s="143"/>
      <c r="K213" s="20">
        <f t="shared" si="65"/>
        <v>0</v>
      </c>
      <c r="L213" s="158"/>
      <c r="M213" s="155"/>
      <c r="N213" s="33">
        <f t="shared" si="66"/>
        <v>0</v>
      </c>
      <c r="O213" s="237"/>
      <c r="P213" s="152"/>
      <c r="Q213" s="21">
        <f t="shared" si="67"/>
        <v>0</v>
      </c>
      <c r="R213" s="174"/>
      <c r="S213" s="113">
        <f t="shared" si="71"/>
        <v>0</v>
      </c>
      <c r="T213" s="186">
        <f t="shared" si="68"/>
        <v>0</v>
      </c>
      <c r="U213" s="3"/>
      <c r="V213" s="313"/>
    </row>
    <row r="214" spans="1:22" ht="18.75" x14ac:dyDescent="0.2">
      <c r="A214" s="97" t="s">
        <v>157</v>
      </c>
      <c r="B214" s="60"/>
      <c r="C214" s="112"/>
      <c r="D214" s="237"/>
      <c r="E214" s="19">
        <f t="shared" si="69"/>
        <v>0</v>
      </c>
      <c r="F214" s="143"/>
      <c r="G214" s="20">
        <f t="shared" si="70"/>
        <v>0</v>
      </c>
      <c r="H214" s="265"/>
      <c r="I214" s="112"/>
      <c r="J214" s="143"/>
      <c r="K214" s="20">
        <f t="shared" si="65"/>
        <v>0</v>
      </c>
      <c r="L214" s="158"/>
      <c r="M214" s="155"/>
      <c r="N214" s="33">
        <f t="shared" si="66"/>
        <v>0</v>
      </c>
      <c r="O214" s="237"/>
      <c r="P214" s="152"/>
      <c r="Q214" s="21">
        <f t="shared" si="67"/>
        <v>0</v>
      </c>
      <c r="R214" s="174"/>
      <c r="S214" s="113">
        <f t="shared" si="71"/>
        <v>0</v>
      </c>
      <c r="T214" s="186">
        <f t="shared" si="68"/>
        <v>0</v>
      </c>
      <c r="U214" s="3"/>
      <c r="V214" s="313"/>
    </row>
    <row r="215" spans="1:22" ht="18.75" x14ac:dyDescent="0.2">
      <c r="A215" s="97" t="s">
        <v>176</v>
      </c>
      <c r="B215" s="60"/>
      <c r="C215" s="112"/>
      <c r="D215" s="237"/>
      <c r="E215" s="19">
        <f t="shared" si="69"/>
        <v>0</v>
      </c>
      <c r="F215" s="143"/>
      <c r="G215" s="20">
        <f t="shared" si="70"/>
        <v>0</v>
      </c>
      <c r="H215" s="265"/>
      <c r="I215" s="112"/>
      <c r="J215" s="143"/>
      <c r="K215" s="20">
        <f t="shared" si="65"/>
        <v>0</v>
      </c>
      <c r="L215" s="158"/>
      <c r="M215" s="155"/>
      <c r="N215" s="33">
        <f t="shared" si="66"/>
        <v>0</v>
      </c>
      <c r="O215" s="237"/>
      <c r="P215" s="152"/>
      <c r="Q215" s="21">
        <f t="shared" si="67"/>
        <v>0</v>
      </c>
      <c r="R215" s="174"/>
      <c r="S215" s="113">
        <f t="shared" si="71"/>
        <v>0</v>
      </c>
      <c r="T215" s="186">
        <f t="shared" si="68"/>
        <v>0</v>
      </c>
      <c r="U215" s="3"/>
      <c r="V215" s="313"/>
    </row>
    <row r="216" spans="1:22" ht="37.5" x14ac:dyDescent="0.2">
      <c r="A216" s="97" t="s">
        <v>184</v>
      </c>
      <c r="B216" s="60"/>
      <c r="C216" s="112"/>
      <c r="D216" s="237"/>
      <c r="E216" s="19">
        <f t="shared" si="69"/>
        <v>0</v>
      </c>
      <c r="F216" s="143"/>
      <c r="G216" s="20">
        <f t="shared" si="70"/>
        <v>0</v>
      </c>
      <c r="H216" s="265"/>
      <c r="I216" s="112"/>
      <c r="J216" s="143"/>
      <c r="K216" s="20">
        <f t="shared" si="65"/>
        <v>0</v>
      </c>
      <c r="L216" s="158"/>
      <c r="M216" s="155"/>
      <c r="N216" s="33">
        <f t="shared" si="66"/>
        <v>0</v>
      </c>
      <c r="O216" s="237"/>
      <c r="P216" s="152"/>
      <c r="Q216" s="21">
        <f t="shared" si="67"/>
        <v>0</v>
      </c>
      <c r="R216" s="174"/>
      <c r="S216" s="113">
        <f t="shared" si="71"/>
        <v>0</v>
      </c>
      <c r="T216" s="186">
        <f t="shared" si="68"/>
        <v>0</v>
      </c>
      <c r="U216" s="3"/>
      <c r="V216" s="313"/>
    </row>
    <row r="217" spans="1:22" ht="37.5" x14ac:dyDescent="0.2">
      <c r="A217" s="97" t="s">
        <v>185</v>
      </c>
      <c r="B217" s="60"/>
      <c r="C217" s="112"/>
      <c r="D217" s="237"/>
      <c r="E217" s="19">
        <f t="shared" si="69"/>
        <v>0</v>
      </c>
      <c r="F217" s="143"/>
      <c r="G217" s="20">
        <f t="shared" si="70"/>
        <v>0</v>
      </c>
      <c r="H217" s="265"/>
      <c r="I217" s="112"/>
      <c r="J217" s="143"/>
      <c r="K217" s="20">
        <f t="shared" si="65"/>
        <v>0</v>
      </c>
      <c r="L217" s="158"/>
      <c r="M217" s="155"/>
      <c r="N217" s="33">
        <f t="shared" si="66"/>
        <v>0</v>
      </c>
      <c r="O217" s="237"/>
      <c r="P217" s="152"/>
      <c r="Q217" s="21">
        <f t="shared" si="67"/>
        <v>0</v>
      </c>
      <c r="R217" s="174"/>
      <c r="S217" s="113">
        <f t="shared" si="71"/>
        <v>0</v>
      </c>
      <c r="T217" s="186">
        <f t="shared" si="68"/>
        <v>0</v>
      </c>
      <c r="U217" s="3"/>
      <c r="V217" s="313"/>
    </row>
    <row r="218" spans="1:22" ht="18.75" x14ac:dyDescent="0.2">
      <c r="A218" s="97" t="s">
        <v>186</v>
      </c>
      <c r="B218" s="60"/>
      <c r="C218" s="112"/>
      <c r="D218" s="237"/>
      <c r="E218" s="19">
        <f t="shared" si="69"/>
        <v>0</v>
      </c>
      <c r="F218" s="143"/>
      <c r="G218" s="20">
        <f t="shared" si="70"/>
        <v>0</v>
      </c>
      <c r="H218" s="265"/>
      <c r="I218" s="112"/>
      <c r="J218" s="143"/>
      <c r="K218" s="20">
        <f t="shared" si="65"/>
        <v>0</v>
      </c>
      <c r="L218" s="158"/>
      <c r="M218" s="155"/>
      <c r="N218" s="33">
        <f t="shared" si="66"/>
        <v>0</v>
      </c>
      <c r="O218" s="237"/>
      <c r="P218" s="152"/>
      <c r="Q218" s="21">
        <f t="shared" si="67"/>
        <v>0</v>
      </c>
      <c r="R218" s="174"/>
      <c r="S218" s="113">
        <f t="shared" si="71"/>
        <v>0</v>
      </c>
      <c r="T218" s="186">
        <f t="shared" si="68"/>
        <v>0</v>
      </c>
      <c r="U218" s="3"/>
      <c r="V218" s="313"/>
    </row>
    <row r="219" spans="1:22" ht="18.75" x14ac:dyDescent="0.2">
      <c r="A219" s="97" t="s">
        <v>187</v>
      </c>
      <c r="B219" s="60"/>
      <c r="C219" s="112"/>
      <c r="D219" s="237"/>
      <c r="E219" s="19">
        <f t="shared" si="69"/>
        <v>0</v>
      </c>
      <c r="F219" s="143"/>
      <c r="G219" s="20">
        <f t="shared" si="70"/>
        <v>0</v>
      </c>
      <c r="H219" s="265"/>
      <c r="I219" s="112"/>
      <c r="J219" s="143"/>
      <c r="K219" s="20">
        <f t="shared" si="65"/>
        <v>0</v>
      </c>
      <c r="L219" s="158"/>
      <c r="M219" s="155"/>
      <c r="N219" s="33">
        <f t="shared" si="66"/>
        <v>0</v>
      </c>
      <c r="O219" s="237"/>
      <c r="P219" s="152"/>
      <c r="Q219" s="21">
        <f t="shared" si="67"/>
        <v>0</v>
      </c>
      <c r="R219" s="174"/>
      <c r="S219" s="113">
        <f t="shared" si="71"/>
        <v>0</v>
      </c>
      <c r="T219" s="186">
        <f t="shared" si="68"/>
        <v>0</v>
      </c>
      <c r="U219" s="3"/>
      <c r="V219" s="313"/>
    </row>
    <row r="220" spans="1:22" ht="37.5" x14ac:dyDescent="0.2">
      <c r="A220" s="97" t="s">
        <v>188</v>
      </c>
      <c r="B220" s="60"/>
      <c r="C220" s="112">
        <v>2537</v>
      </c>
      <c r="D220" s="237">
        <v>2537</v>
      </c>
      <c r="E220" s="19">
        <f t="shared" si="69"/>
        <v>0</v>
      </c>
      <c r="F220" s="143"/>
      <c r="G220" s="20">
        <f t="shared" si="70"/>
        <v>0</v>
      </c>
      <c r="H220" s="265"/>
      <c r="I220" s="112"/>
      <c r="J220" s="143"/>
      <c r="K220" s="20">
        <f t="shared" si="65"/>
        <v>0</v>
      </c>
      <c r="L220" s="158"/>
      <c r="M220" s="155"/>
      <c r="N220" s="33">
        <f t="shared" si="66"/>
        <v>0</v>
      </c>
      <c r="O220" s="237"/>
      <c r="P220" s="152"/>
      <c r="Q220" s="21">
        <f t="shared" si="67"/>
        <v>0</v>
      </c>
      <c r="R220" s="174"/>
      <c r="S220" s="113">
        <f t="shared" si="71"/>
        <v>0</v>
      </c>
      <c r="T220" s="186">
        <f t="shared" si="68"/>
        <v>0</v>
      </c>
      <c r="U220" s="3"/>
      <c r="V220" s="313"/>
    </row>
    <row r="221" spans="1:22" ht="37.5" x14ac:dyDescent="0.2">
      <c r="A221" s="97" t="s">
        <v>225</v>
      </c>
      <c r="B221" s="60"/>
      <c r="C221" s="112"/>
      <c r="D221" s="237"/>
      <c r="E221" s="19">
        <f t="shared" si="69"/>
        <v>0</v>
      </c>
      <c r="F221" s="143"/>
      <c r="G221" s="20">
        <f t="shared" si="70"/>
        <v>0</v>
      </c>
      <c r="H221" s="265"/>
      <c r="I221" s="112"/>
      <c r="J221" s="143"/>
      <c r="K221" s="20">
        <f t="shared" si="65"/>
        <v>0</v>
      </c>
      <c r="L221" s="158"/>
      <c r="M221" s="155"/>
      <c r="N221" s="33">
        <f t="shared" si="66"/>
        <v>0</v>
      </c>
      <c r="O221" s="237"/>
      <c r="P221" s="152"/>
      <c r="Q221" s="21">
        <f t="shared" si="67"/>
        <v>0</v>
      </c>
      <c r="R221" s="174"/>
      <c r="S221" s="113">
        <f t="shared" si="71"/>
        <v>0</v>
      </c>
      <c r="T221" s="186">
        <f t="shared" si="68"/>
        <v>0</v>
      </c>
      <c r="U221" s="3"/>
      <c r="V221" s="313"/>
    </row>
    <row r="222" spans="1:22" ht="18.75" x14ac:dyDescent="0.2">
      <c r="A222" s="97" t="s">
        <v>270</v>
      </c>
      <c r="B222" s="60"/>
      <c r="C222" s="112"/>
      <c r="D222" s="237"/>
      <c r="E222" s="19">
        <f t="shared" si="69"/>
        <v>0</v>
      </c>
      <c r="F222" s="143"/>
      <c r="G222" s="20">
        <f t="shared" si="70"/>
        <v>0</v>
      </c>
      <c r="H222" s="265"/>
      <c r="I222" s="112"/>
      <c r="J222" s="143"/>
      <c r="K222" s="20">
        <f t="shared" si="65"/>
        <v>0</v>
      </c>
      <c r="L222" s="158"/>
      <c r="M222" s="155"/>
      <c r="N222" s="33">
        <f t="shared" si="66"/>
        <v>0</v>
      </c>
      <c r="O222" s="237"/>
      <c r="P222" s="152"/>
      <c r="Q222" s="21">
        <f t="shared" si="67"/>
        <v>0</v>
      </c>
      <c r="R222" s="174"/>
      <c r="S222" s="113">
        <f t="shared" si="71"/>
        <v>0</v>
      </c>
      <c r="T222" s="186">
        <f t="shared" si="68"/>
        <v>0</v>
      </c>
      <c r="U222" s="3"/>
      <c r="V222" s="313"/>
    </row>
    <row r="223" spans="1:22" ht="18.75" x14ac:dyDescent="0.2">
      <c r="A223" s="97" t="s">
        <v>150</v>
      </c>
      <c r="B223" s="60"/>
      <c r="C223" s="112"/>
      <c r="D223" s="237"/>
      <c r="E223" s="19">
        <f t="shared" si="69"/>
        <v>0</v>
      </c>
      <c r="F223" s="143"/>
      <c r="G223" s="20">
        <f t="shared" si="70"/>
        <v>0</v>
      </c>
      <c r="H223" s="265"/>
      <c r="I223" s="112"/>
      <c r="J223" s="143"/>
      <c r="K223" s="20">
        <f t="shared" si="65"/>
        <v>0</v>
      </c>
      <c r="L223" s="158"/>
      <c r="M223" s="155"/>
      <c r="N223" s="33">
        <f t="shared" si="66"/>
        <v>0</v>
      </c>
      <c r="O223" s="237"/>
      <c r="P223" s="152"/>
      <c r="Q223" s="21">
        <f t="shared" si="67"/>
        <v>0</v>
      </c>
      <c r="R223" s="174"/>
      <c r="S223" s="113">
        <f t="shared" si="71"/>
        <v>0</v>
      </c>
      <c r="T223" s="186">
        <f t="shared" si="68"/>
        <v>0</v>
      </c>
      <c r="U223" s="3"/>
      <c r="V223" s="313"/>
    </row>
    <row r="224" spans="1:22" ht="18.75" x14ac:dyDescent="0.2">
      <c r="A224" s="193" t="s">
        <v>22</v>
      </c>
      <c r="B224" s="190">
        <v>226</v>
      </c>
      <c r="C224" s="214">
        <f t="shared" ref="C224" si="72">SUM(C225:C234)</f>
        <v>0</v>
      </c>
      <c r="D224" s="214">
        <v>0</v>
      </c>
      <c r="E224" s="214">
        <f t="shared" ref="E224:V224" si="73">SUM(E225:E234)</f>
        <v>0</v>
      </c>
      <c r="F224" s="214">
        <f t="shared" si="73"/>
        <v>0</v>
      </c>
      <c r="G224" s="214">
        <f t="shared" si="73"/>
        <v>0</v>
      </c>
      <c r="H224" s="214">
        <f t="shared" si="73"/>
        <v>3597</v>
      </c>
      <c r="I224" s="214">
        <f t="shared" si="73"/>
        <v>3597</v>
      </c>
      <c r="J224" s="214">
        <f t="shared" si="73"/>
        <v>0</v>
      </c>
      <c r="K224" s="214">
        <f t="shared" si="73"/>
        <v>3597</v>
      </c>
      <c r="L224" s="214">
        <f t="shared" si="73"/>
        <v>0</v>
      </c>
      <c r="M224" s="214">
        <f t="shared" si="73"/>
        <v>0</v>
      </c>
      <c r="N224" s="195">
        <f t="shared" si="73"/>
        <v>0</v>
      </c>
      <c r="O224" s="214">
        <f t="shared" si="73"/>
        <v>0</v>
      </c>
      <c r="P224" s="214">
        <f t="shared" si="73"/>
        <v>0</v>
      </c>
      <c r="Q224" s="214">
        <f t="shared" si="73"/>
        <v>0</v>
      </c>
      <c r="R224" s="214">
        <f t="shared" si="73"/>
        <v>0</v>
      </c>
      <c r="S224" s="214">
        <f t="shared" si="73"/>
        <v>3597</v>
      </c>
      <c r="T224" s="214">
        <f t="shared" si="73"/>
        <v>3597</v>
      </c>
      <c r="U224" s="295">
        <f t="shared" si="73"/>
        <v>0</v>
      </c>
      <c r="V224" s="295">
        <f t="shared" si="73"/>
        <v>0</v>
      </c>
    </row>
    <row r="225" spans="1:22" ht="56.25" x14ac:dyDescent="0.2">
      <c r="A225" s="86" t="s">
        <v>144</v>
      </c>
      <c r="B225" s="60"/>
      <c r="C225" s="112">
        <f>1034-1034</f>
        <v>0</v>
      </c>
      <c r="D225" s="237"/>
      <c r="E225" s="19">
        <f>C225-D225</f>
        <v>0</v>
      </c>
      <c r="F225" s="143"/>
      <c r="G225" s="20">
        <f>E225-F225</f>
        <v>0</v>
      </c>
      <c r="H225" s="265">
        <v>1060</v>
      </c>
      <c r="I225" s="112">
        <v>1060</v>
      </c>
      <c r="J225" s="143"/>
      <c r="K225" s="20">
        <f t="shared" si="65"/>
        <v>1060</v>
      </c>
      <c r="L225" s="158"/>
      <c r="M225" s="155"/>
      <c r="N225" s="33">
        <f t="shared" si="66"/>
        <v>0</v>
      </c>
      <c r="O225" s="237"/>
      <c r="P225" s="152"/>
      <c r="Q225" s="21">
        <f t="shared" si="67"/>
        <v>0</v>
      </c>
      <c r="R225" s="174"/>
      <c r="S225" s="113">
        <f>I225-O225-R225</f>
        <v>1060</v>
      </c>
      <c r="T225" s="186">
        <f t="shared" si="68"/>
        <v>1060</v>
      </c>
      <c r="U225" s="3"/>
      <c r="V225" s="313"/>
    </row>
    <row r="226" spans="1:22" ht="18.75" x14ac:dyDescent="0.2">
      <c r="A226" s="86" t="s">
        <v>140</v>
      </c>
      <c r="B226" s="60"/>
      <c r="C226" s="112"/>
      <c r="D226" s="237"/>
      <c r="E226" s="19">
        <f t="shared" ref="E226:E234" si="74">C226-D226</f>
        <v>0</v>
      </c>
      <c r="F226" s="143"/>
      <c r="G226" s="20">
        <f>E226-F226</f>
        <v>0</v>
      </c>
      <c r="H226" s="265"/>
      <c r="I226" s="112"/>
      <c r="J226" s="143"/>
      <c r="K226" s="20">
        <f t="shared" si="65"/>
        <v>0</v>
      </c>
      <c r="L226" s="158"/>
      <c r="M226" s="155"/>
      <c r="N226" s="33">
        <f t="shared" si="66"/>
        <v>0</v>
      </c>
      <c r="O226" s="237"/>
      <c r="P226" s="152"/>
      <c r="Q226" s="21">
        <f t="shared" si="67"/>
        <v>0</v>
      </c>
      <c r="R226" s="174"/>
      <c r="S226" s="113">
        <f>I226-O226-R226</f>
        <v>0</v>
      </c>
      <c r="T226" s="186">
        <f t="shared" si="68"/>
        <v>0</v>
      </c>
      <c r="U226" s="3"/>
      <c r="V226" s="313"/>
    </row>
    <row r="227" spans="1:22" ht="18.75" x14ac:dyDescent="0.2">
      <c r="A227" s="86" t="s">
        <v>183</v>
      </c>
      <c r="B227" s="60"/>
      <c r="C227" s="112"/>
      <c r="D227" s="237"/>
      <c r="E227" s="19">
        <f t="shared" si="74"/>
        <v>0</v>
      </c>
      <c r="F227" s="143"/>
      <c r="G227" s="20">
        <f>E227-F227</f>
        <v>0</v>
      </c>
      <c r="H227" s="265"/>
      <c r="I227" s="112"/>
      <c r="J227" s="143"/>
      <c r="K227" s="20">
        <f t="shared" si="65"/>
        <v>0</v>
      </c>
      <c r="L227" s="158"/>
      <c r="M227" s="155"/>
      <c r="N227" s="33">
        <f t="shared" si="66"/>
        <v>0</v>
      </c>
      <c r="O227" s="237"/>
      <c r="P227" s="152"/>
      <c r="Q227" s="21">
        <f t="shared" si="67"/>
        <v>0</v>
      </c>
      <c r="R227" s="174"/>
      <c r="S227" s="113">
        <f>I227-O227-R227</f>
        <v>0</v>
      </c>
      <c r="T227" s="186">
        <f t="shared" si="68"/>
        <v>0</v>
      </c>
      <c r="U227" s="3"/>
      <c r="V227" s="313"/>
    </row>
    <row r="228" spans="1:22" ht="37.5" x14ac:dyDescent="0.2">
      <c r="A228" s="86" t="s">
        <v>96</v>
      </c>
      <c r="B228" s="60"/>
      <c r="C228" s="112"/>
      <c r="D228" s="237"/>
      <c r="E228" s="19">
        <f t="shared" si="74"/>
        <v>0</v>
      </c>
      <c r="F228" s="143"/>
      <c r="G228" s="20">
        <f>E228-F228</f>
        <v>0</v>
      </c>
      <c r="H228" s="265"/>
      <c r="I228" s="112"/>
      <c r="J228" s="143"/>
      <c r="K228" s="20">
        <f t="shared" si="65"/>
        <v>0</v>
      </c>
      <c r="L228" s="158"/>
      <c r="M228" s="155"/>
      <c r="N228" s="33">
        <f t="shared" si="66"/>
        <v>0</v>
      </c>
      <c r="O228" s="237"/>
      <c r="P228" s="152"/>
      <c r="Q228" s="21">
        <f t="shared" si="67"/>
        <v>0</v>
      </c>
      <c r="R228" s="174"/>
      <c r="S228" s="113">
        <f>I228-O228-R228</f>
        <v>0</v>
      </c>
      <c r="T228" s="186">
        <f t="shared" si="68"/>
        <v>0</v>
      </c>
      <c r="U228" s="3"/>
      <c r="V228" s="313"/>
    </row>
    <row r="229" spans="1:22" ht="18.75" x14ac:dyDescent="0.2">
      <c r="A229" s="86" t="s">
        <v>109</v>
      </c>
      <c r="B229" s="60"/>
      <c r="C229" s="112"/>
      <c r="D229" s="237"/>
      <c r="E229" s="19">
        <f t="shared" si="74"/>
        <v>0</v>
      </c>
      <c r="F229" s="143"/>
      <c r="G229" s="20">
        <f t="shared" ref="G229:G234" si="75">E229-F229</f>
        <v>0</v>
      </c>
      <c r="H229" s="265"/>
      <c r="I229" s="112"/>
      <c r="J229" s="143"/>
      <c r="K229" s="20">
        <f t="shared" si="65"/>
        <v>0</v>
      </c>
      <c r="L229" s="158"/>
      <c r="M229" s="155"/>
      <c r="N229" s="33">
        <f t="shared" si="66"/>
        <v>0</v>
      </c>
      <c r="O229" s="237"/>
      <c r="P229" s="152"/>
      <c r="Q229" s="21">
        <f t="shared" si="67"/>
        <v>0</v>
      </c>
      <c r="R229" s="174"/>
      <c r="S229" s="113">
        <f t="shared" ref="S229:S234" si="76">I229-O229-R229</f>
        <v>0</v>
      </c>
      <c r="T229" s="186">
        <f t="shared" si="68"/>
        <v>0</v>
      </c>
      <c r="U229" s="3"/>
      <c r="V229" s="313"/>
    </row>
    <row r="230" spans="1:22" ht="37.5" x14ac:dyDescent="0.2">
      <c r="A230" s="86" t="s">
        <v>110</v>
      </c>
      <c r="B230" s="60"/>
      <c r="C230" s="112"/>
      <c r="D230" s="237"/>
      <c r="E230" s="19">
        <f t="shared" si="74"/>
        <v>0</v>
      </c>
      <c r="F230" s="143"/>
      <c r="G230" s="20">
        <f t="shared" si="75"/>
        <v>0</v>
      </c>
      <c r="H230" s="265"/>
      <c r="I230" s="112"/>
      <c r="J230" s="143"/>
      <c r="K230" s="20">
        <f t="shared" si="65"/>
        <v>0</v>
      </c>
      <c r="L230" s="158"/>
      <c r="M230" s="155"/>
      <c r="N230" s="33">
        <f t="shared" si="66"/>
        <v>0</v>
      </c>
      <c r="O230" s="237"/>
      <c r="P230" s="152"/>
      <c r="Q230" s="21">
        <f t="shared" si="67"/>
        <v>0</v>
      </c>
      <c r="R230" s="174"/>
      <c r="S230" s="113">
        <f t="shared" si="76"/>
        <v>0</v>
      </c>
      <c r="T230" s="186">
        <f t="shared" si="68"/>
        <v>0</v>
      </c>
      <c r="U230" s="3"/>
      <c r="V230" s="313"/>
    </row>
    <row r="231" spans="1:22" ht="37.5" x14ac:dyDescent="0.2">
      <c r="A231" s="97" t="s">
        <v>185</v>
      </c>
      <c r="B231" s="60"/>
      <c r="C231" s="112"/>
      <c r="D231" s="237"/>
      <c r="E231" s="19">
        <f t="shared" si="74"/>
        <v>0</v>
      </c>
      <c r="F231" s="143"/>
      <c r="G231" s="20">
        <f t="shared" si="75"/>
        <v>0</v>
      </c>
      <c r="H231" s="265"/>
      <c r="I231" s="112"/>
      <c r="J231" s="143"/>
      <c r="K231" s="20">
        <f t="shared" si="65"/>
        <v>0</v>
      </c>
      <c r="L231" s="158"/>
      <c r="M231" s="155"/>
      <c r="N231" s="33">
        <f t="shared" si="66"/>
        <v>0</v>
      </c>
      <c r="O231" s="237"/>
      <c r="P231" s="152"/>
      <c r="Q231" s="21">
        <f t="shared" si="67"/>
        <v>0</v>
      </c>
      <c r="R231" s="174"/>
      <c r="S231" s="113">
        <f t="shared" si="76"/>
        <v>0</v>
      </c>
      <c r="T231" s="186">
        <f t="shared" si="68"/>
        <v>0</v>
      </c>
      <c r="U231" s="3"/>
      <c r="V231" s="313"/>
    </row>
    <row r="232" spans="1:22" ht="18.75" x14ac:dyDescent="0.2">
      <c r="A232" s="97" t="s">
        <v>177</v>
      </c>
      <c r="B232" s="60"/>
      <c r="C232" s="112"/>
      <c r="D232" s="237"/>
      <c r="E232" s="19">
        <f t="shared" si="74"/>
        <v>0</v>
      </c>
      <c r="F232" s="143"/>
      <c r="G232" s="20">
        <f t="shared" si="75"/>
        <v>0</v>
      </c>
      <c r="H232" s="265"/>
      <c r="I232" s="112"/>
      <c r="J232" s="143"/>
      <c r="K232" s="20">
        <f t="shared" si="65"/>
        <v>0</v>
      </c>
      <c r="L232" s="158"/>
      <c r="M232" s="155"/>
      <c r="N232" s="33">
        <f t="shared" si="66"/>
        <v>0</v>
      </c>
      <c r="O232" s="237"/>
      <c r="P232" s="152"/>
      <c r="Q232" s="21">
        <f t="shared" si="67"/>
        <v>0</v>
      </c>
      <c r="R232" s="174"/>
      <c r="S232" s="113">
        <f t="shared" si="76"/>
        <v>0</v>
      </c>
      <c r="T232" s="186">
        <f t="shared" si="68"/>
        <v>0</v>
      </c>
      <c r="U232" s="3"/>
      <c r="V232" s="313"/>
    </row>
    <row r="233" spans="1:22" ht="37.5" x14ac:dyDescent="0.2">
      <c r="A233" s="97" t="s">
        <v>188</v>
      </c>
      <c r="B233" s="60"/>
      <c r="C233" s="112">
        <f>3000-2563-437</f>
        <v>0</v>
      </c>
      <c r="D233" s="237"/>
      <c r="E233" s="19">
        <f t="shared" si="74"/>
        <v>0</v>
      </c>
      <c r="F233" s="143"/>
      <c r="G233" s="20">
        <f t="shared" si="75"/>
        <v>0</v>
      </c>
      <c r="H233" s="265">
        <v>2537</v>
      </c>
      <c r="I233" s="112">
        <v>2537</v>
      </c>
      <c r="J233" s="143"/>
      <c r="K233" s="20">
        <f t="shared" si="65"/>
        <v>2537</v>
      </c>
      <c r="L233" s="158"/>
      <c r="M233" s="155"/>
      <c r="N233" s="33">
        <f t="shared" si="66"/>
        <v>0</v>
      </c>
      <c r="O233" s="237"/>
      <c r="P233" s="152"/>
      <c r="Q233" s="21">
        <f t="shared" si="67"/>
        <v>0</v>
      </c>
      <c r="R233" s="174"/>
      <c r="S233" s="113">
        <f t="shared" si="76"/>
        <v>2537</v>
      </c>
      <c r="T233" s="186">
        <f t="shared" si="68"/>
        <v>2537</v>
      </c>
      <c r="U233" s="3"/>
      <c r="V233" s="313"/>
    </row>
    <row r="234" spans="1:22" ht="18.75" x14ac:dyDescent="0.2">
      <c r="A234" s="97" t="s">
        <v>241</v>
      </c>
      <c r="B234" s="60"/>
      <c r="C234" s="112"/>
      <c r="D234" s="237"/>
      <c r="E234" s="19">
        <f t="shared" si="74"/>
        <v>0</v>
      </c>
      <c r="F234" s="143"/>
      <c r="G234" s="20">
        <f t="shared" si="75"/>
        <v>0</v>
      </c>
      <c r="H234" s="265"/>
      <c r="I234" s="112"/>
      <c r="J234" s="143"/>
      <c r="K234" s="20">
        <f t="shared" si="65"/>
        <v>0</v>
      </c>
      <c r="L234" s="158"/>
      <c r="M234" s="155"/>
      <c r="N234" s="33">
        <f t="shared" si="66"/>
        <v>0</v>
      </c>
      <c r="O234" s="237"/>
      <c r="P234" s="152"/>
      <c r="Q234" s="21">
        <f t="shared" si="67"/>
        <v>0</v>
      </c>
      <c r="R234" s="174"/>
      <c r="S234" s="113">
        <f t="shared" si="76"/>
        <v>0</v>
      </c>
      <c r="T234" s="186">
        <f t="shared" si="68"/>
        <v>0</v>
      </c>
      <c r="U234" s="3"/>
      <c r="V234" s="313"/>
    </row>
    <row r="235" spans="1:22" ht="18.75" x14ac:dyDescent="0.2">
      <c r="A235" s="207" t="s">
        <v>24</v>
      </c>
      <c r="B235" s="190">
        <v>310</v>
      </c>
      <c r="C235" s="214">
        <f t="shared" ref="C235" si="77">SUM(C236:C238)</f>
        <v>0</v>
      </c>
      <c r="D235" s="214">
        <v>0</v>
      </c>
      <c r="E235" s="214">
        <f t="shared" ref="E235:V235" si="78">SUM(E236:E238)</f>
        <v>0</v>
      </c>
      <c r="F235" s="214">
        <f t="shared" si="78"/>
        <v>0</v>
      </c>
      <c r="G235" s="214">
        <f t="shared" si="78"/>
        <v>0</v>
      </c>
      <c r="H235" s="214">
        <f t="shared" si="78"/>
        <v>0</v>
      </c>
      <c r="I235" s="214">
        <f t="shared" si="78"/>
        <v>0</v>
      </c>
      <c r="J235" s="214">
        <f t="shared" si="78"/>
        <v>0</v>
      </c>
      <c r="K235" s="214">
        <f t="shared" si="78"/>
        <v>0</v>
      </c>
      <c r="L235" s="214">
        <f t="shared" si="78"/>
        <v>0</v>
      </c>
      <c r="M235" s="214">
        <f t="shared" si="78"/>
        <v>0</v>
      </c>
      <c r="N235" s="195">
        <f t="shared" si="78"/>
        <v>0</v>
      </c>
      <c r="O235" s="214">
        <f t="shared" si="78"/>
        <v>0</v>
      </c>
      <c r="P235" s="214">
        <f t="shared" si="78"/>
        <v>0</v>
      </c>
      <c r="Q235" s="214">
        <f t="shared" si="78"/>
        <v>0</v>
      </c>
      <c r="R235" s="214">
        <f t="shared" si="78"/>
        <v>0</v>
      </c>
      <c r="S235" s="214">
        <f t="shared" si="78"/>
        <v>0</v>
      </c>
      <c r="T235" s="214">
        <f t="shared" si="78"/>
        <v>0</v>
      </c>
      <c r="U235" s="295">
        <f t="shared" si="78"/>
        <v>0</v>
      </c>
      <c r="V235" s="295">
        <f t="shared" si="78"/>
        <v>0</v>
      </c>
    </row>
    <row r="236" spans="1:22" ht="18.75" x14ac:dyDescent="0.2">
      <c r="A236" s="86" t="s">
        <v>25</v>
      </c>
      <c r="B236" s="60"/>
      <c r="C236" s="120"/>
      <c r="D236" s="237"/>
      <c r="E236" s="19">
        <f>C236-D236</f>
        <v>0</v>
      </c>
      <c r="F236" s="143"/>
      <c r="G236" s="20">
        <f>E236-F236</f>
        <v>0</v>
      </c>
      <c r="H236" s="127"/>
      <c r="I236" s="120"/>
      <c r="J236" s="143"/>
      <c r="K236" s="20">
        <f t="shared" si="65"/>
        <v>0</v>
      </c>
      <c r="L236" s="158"/>
      <c r="M236" s="155"/>
      <c r="N236" s="33">
        <f t="shared" si="66"/>
        <v>0</v>
      </c>
      <c r="O236" s="237"/>
      <c r="P236" s="152"/>
      <c r="Q236" s="21">
        <f t="shared" si="67"/>
        <v>0</v>
      </c>
      <c r="R236" s="174"/>
      <c r="S236" s="113">
        <f>I236-O236-R236</f>
        <v>0</v>
      </c>
      <c r="T236" s="186">
        <f t="shared" si="68"/>
        <v>0</v>
      </c>
      <c r="U236" s="3"/>
      <c r="V236" s="313"/>
    </row>
    <row r="237" spans="1:22" ht="18.75" x14ac:dyDescent="0.2">
      <c r="A237" s="86"/>
      <c r="B237" s="60"/>
      <c r="C237" s="120"/>
      <c r="D237" s="237"/>
      <c r="E237" s="19">
        <f>C237-D237</f>
        <v>0</v>
      </c>
      <c r="F237" s="143"/>
      <c r="G237" s="20">
        <f>E237-F237</f>
        <v>0</v>
      </c>
      <c r="H237" s="127"/>
      <c r="I237" s="120"/>
      <c r="J237" s="143"/>
      <c r="K237" s="20">
        <f t="shared" si="65"/>
        <v>0</v>
      </c>
      <c r="L237" s="158"/>
      <c r="M237" s="155"/>
      <c r="N237" s="33">
        <f t="shared" si="66"/>
        <v>0</v>
      </c>
      <c r="O237" s="237"/>
      <c r="P237" s="152"/>
      <c r="Q237" s="21">
        <f t="shared" si="67"/>
        <v>0</v>
      </c>
      <c r="R237" s="174"/>
      <c r="S237" s="113">
        <f>I237-O237-R237</f>
        <v>0</v>
      </c>
      <c r="T237" s="186">
        <f t="shared" si="68"/>
        <v>0</v>
      </c>
      <c r="U237" s="3"/>
      <c r="V237" s="313"/>
    </row>
    <row r="238" spans="1:22" ht="18.75" x14ac:dyDescent="0.2">
      <c r="A238" s="86" t="s">
        <v>111</v>
      </c>
      <c r="B238" s="60"/>
      <c r="C238" s="120"/>
      <c r="D238" s="237"/>
      <c r="E238" s="19">
        <f>C238-D238</f>
        <v>0</v>
      </c>
      <c r="F238" s="143"/>
      <c r="G238" s="20">
        <f>E238-F238</f>
        <v>0</v>
      </c>
      <c r="H238" s="127"/>
      <c r="I238" s="120"/>
      <c r="J238" s="143"/>
      <c r="K238" s="20">
        <f t="shared" si="65"/>
        <v>0</v>
      </c>
      <c r="L238" s="158"/>
      <c r="M238" s="155"/>
      <c r="N238" s="33">
        <f t="shared" si="66"/>
        <v>0</v>
      </c>
      <c r="O238" s="237"/>
      <c r="P238" s="152"/>
      <c r="Q238" s="21">
        <f t="shared" si="67"/>
        <v>0</v>
      </c>
      <c r="R238" s="174"/>
      <c r="S238" s="113">
        <f>I238-O238-R238</f>
        <v>0</v>
      </c>
      <c r="T238" s="186">
        <f t="shared" si="68"/>
        <v>0</v>
      </c>
      <c r="U238" s="3"/>
      <c r="V238" s="313"/>
    </row>
    <row r="239" spans="1:22" ht="56.25" x14ac:dyDescent="0.2">
      <c r="A239" s="207" t="s">
        <v>145</v>
      </c>
      <c r="B239" s="190">
        <v>344</v>
      </c>
      <c r="C239" s="214">
        <v>0</v>
      </c>
      <c r="D239" s="202">
        <v>0</v>
      </c>
      <c r="E239" s="192">
        <f>C239-D239</f>
        <v>0</v>
      </c>
      <c r="F239" s="192"/>
      <c r="G239" s="204">
        <f>E239-F239</f>
        <v>0</v>
      </c>
      <c r="H239" s="220"/>
      <c r="I239" s="214">
        <v>0</v>
      </c>
      <c r="J239" s="192"/>
      <c r="K239" s="204">
        <f t="shared" si="65"/>
        <v>0</v>
      </c>
      <c r="L239" s="215">
        <v>0</v>
      </c>
      <c r="M239" s="211"/>
      <c r="N239" s="200">
        <f t="shared" si="66"/>
        <v>0</v>
      </c>
      <c r="O239" s="202">
        <v>0</v>
      </c>
      <c r="P239" s="202"/>
      <c r="Q239" s="202">
        <f t="shared" si="67"/>
        <v>0</v>
      </c>
      <c r="R239" s="204"/>
      <c r="S239" s="202">
        <f>I239-O239-R239</f>
        <v>0</v>
      </c>
      <c r="T239" s="195">
        <f t="shared" si="68"/>
        <v>0</v>
      </c>
      <c r="U239" s="294"/>
      <c r="V239" s="294"/>
    </row>
    <row r="240" spans="1:22" ht="18.75" x14ac:dyDescent="0.2">
      <c r="A240" s="207" t="s">
        <v>26</v>
      </c>
      <c r="B240" s="190">
        <v>346</v>
      </c>
      <c r="C240" s="214">
        <f t="shared" ref="C240" si="79">SUM(C241:C243)</f>
        <v>0</v>
      </c>
      <c r="D240" s="214">
        <v>0</v>
      </c>
      <c r="E240" s="214">
        <f t="shared" ref="E240:V240" si="80">SUM(E241:E243)</f>
        <v>0</v>
      </c>
      <c r="F240" s="214">
        <f t="shared" si="80"/>
        <v>0</v>
      </c>
      <c r="G240" s="214">
        <f t="shared" si="80"/>
        <v>0</v>
      </c>
      <c r="H240" s="214">
        <f t="shared" si="80"/>
        <v>0</v>
      </c>
      <c r="I240" s="214">
        <f t="shared" si="80"/>
        <v>0</v>
      </c>
      <c r="J240" s="214">
        <f t="shared" si="80"/>
        <v>0</v>
      </c>
      <c r="K240" s="214">
        <f t="shared" si="80"/>
        <v>0</v>
      </c>
      <c r="L240" s="214">
        <f t="shared" si="80"/>
        <v>0</v>
      </c>
      <c r="M240" s="214">
        <f t="shared" si="80"/>
        <v>0</v>
      </c>
      <c r="N240" s="214">
        <f t="shared" si="80"/>
        <v>0</v>
      </c>
      <c r="O240" s="214">
        <f t="shared" si="80"/>
        <v>0</v>
      </c>
      <c r="P240" s="214">
        <f t="shared" si="80"/>
        <v>0</v>
      </c>
      <c r="Q240" s="214">
        <f t="shared" si="80"/>
        <v>0</v>
      </c>
      <c r="R240" s="214">
        <f t="shared" si="80"/>
        <v>0</v>
      </c>
      <c r="S240" s="214">
        <f t="shared" si="80"/>
        <v>0</v>
      </c>
      <c r="T240" s="214">
        <f t="shared" si="80"/>
        <v>0</v>
      </c>
      <c r="U240" s="295">
        <f t="shared" si="80"/>
        <v>0</v>
      </c>
      <c r="V240" s="295">
        <f t="shared" si="80"/>
        <v>0</v>
      </c>
    </row>
    <row r="241" spans="1:22" ht="18.75" x14ac:dyDescent="0.2">
      <c r="A241" s="86" t="s">
        <v>90</v>
      </c>
      <c r="B241" s="60"/>
      <c r="C241" s="120"/>
      <c r="D241" s="237"/>
      <c r="E241" s="19">
        <f>C241-D241</f>
        <v>0</v>
      </c>
      <c r="F241" s="143"/>
      <c r="G241" s="20">
        <f>E241-F241</f>
        <v>0</v>
      </c>
      <c r="H241" s="127"/>
      <c r="I241" s="120"/>
      <c r="J241" s="143"/>
      <c r="K241" s="20">
        <f t="shared" si="65"/>
        <v>0</v>
      </c>
      <c r="L241" s="158"/>
      <c r="M241" s="155"/>
      <c r="N241" s="21">
        <f t="shared" si="66"/>
        <v>0</v>
      </c>
      <c r="O241" s="237"/>
      <c r="P241" s="152"/>
      <c r="Q241" s="21">
        <f t="shared" si="67"/>
        <v>0</v>
      </c>
      <c r="R241" s="174"/>
      <c r="S241" s="113">
        <f>I241-O241-R241</f>
        <v>0</v>
      </c>
      <c r="T241" s="186">
        <f t="shared" si="68"/>
        <v>0</v>
      </c>
      <c r="U241" s="3"/>
      <c r="V241" s="313"/>
    </row>
    <row r="242" spans="1:22" ht="37.5" x14ac:dyDescent="0.2">
      <c r="A242" s="98" t="s">
        <v>91</v>
      </c>
      <c r="B242" s="60"/>
      <c r="C242" s="112"/>
      <c r="D242" s="237"/>
      <c r="E242" s="19">
        <f>C242-D242</f>
        <v>0</v>
      </c>
      <c r="F242" s="143"/>
      <c r="G242" s="20">
        <f>E242-F242</f>
        <v>0</v>
      </c>
      <c r="H242" s="127"/>
      <c r="I242" s="112"/>
      <c r="J242" s="143"/>
      <c r="K242" s="20">
        <f t="shared" si="65"/>
        <v>0</v>
      </c>
      <c r="L242" s="158"/>
      <c r="M242" s="155"/>
      <c r="N242" s="21">
        <f t="shared" si="66"/>
        <v>0</v>
      </c>
      <c r="O242" s="237"/>
      <c r="P242" s="152"/>
      <c r="Q242" s="21">
        <f t="shared" si="67"/>
        <v>0</v>
      </c>
      <c r="R242" s="174"/>
      <c r="S242" s="113">
        <f>I242-O242-R242</f>
        <v>0</v>
      </c>
      <c r="T242" s="186">
        <f t="shared" si="68"/>
        <v>0</v>
      </c>
      <c r="U242" s="3"/>
      <c r="V242" s="313"/>
    </row>
    <row r="243" spans="1:22" ht="18.75" x14ac:dyDescent="0.2">
      <c r="A243" s="257" t="s">
        <v>148</v>
      </c>
      <c r="B243" s="64"/>
      <c r="C243" s="112"/>
      <c r="D243" s="238"/>
      <c r="E243" s="37">
        <f>C243-D243</f>
        <v>0</v>
      </c>
      <c r="F243" s="232"/>
      <c r="G243" s="63">
        <f>E243-F243</f>
        <v>0</v>
      </c>
      <c r="H243" s="127"/>
      <c r="I243" s="112"/>
      <c r="J243" s="232"/>
      <c r="K243" s="63">
        <f t="shared" si="65"/>
        <v>0</v>
      </c>
      <c r="L243" s="158"/>
      <c r="M243" s="156"/>
      <c r="N243" s="25">
        <f t="shared" si="66"/>
        <v>0</v>
      </c>
      <c r="O243" s="238"/>
      <c r="P243" s="164"/>
      <c r="Q243" s="25">
        <f t="shared" si="67"/>
        <v>0</v>
      </c>
      <c r="R243" s="176"/>
      <c r="S243" s="114">
        <f>I243-O243-R243</f>
        <v>0</v>
      </c>
      <c r="T243" s="188">
        <f t="shared" si="68"/>
        <v>0</v>
      </c>
      <c r="U243" s="4"/>
      <c r="V243" s="314"/>
    </row>
    <row r="244" spans="1:22" ht="37.5" x14ac:dyDescent="0.2">
      <c r="A244" s="95" t="s">
        <v>54</v>
      </c>
      <c r="B244" s="96"/>
      <c r="C244" s="35">
        <f t="shared" ref="C244" si="81">C207+C224+C235+C239+C240</f>
        <v>3597</v>
      </c>
      <c r="D244" s="35">
        <v>3597</v>
      </c>
      <c r="E244" s="35">
        <f t="shared" ref="E244:V244" si="82">E207+E224+E235+E239+E240</f>
        <v>0</v>
      </c>
      <c r="F244" s="35">
        <f t="shared" si="82"/>
        <v>0</v>
      </c>
      <c r="G244" s="35">
        <f t="shared" si="82"/>
        <v>0</v>
      </c>
      <c r="H244" s="35">
        <f t="shared" si="82"/>
        <v>3597</v>
      </c>
      <c r="I244" s="35">
        <f t="shared" si="82"/>
        <v>3597</v>
      </c>
      <c r="J244" s="35">
        <f t="shared" si="82"/>
        <v>0</v>
      </c>
      <c r="K244" s="35">
        <f t="shared" si="82"/>
        <v>3597</v>
      </c>
      <c r="L244" s="35">
        <f t="shared" si="82"/>
        <v>0</v>
      </c>
      <c r="M244" s="35">
        <f t="shared" si="82"/>
        <v>0</v>
      </c>
      <c r="N244" s="35">
        <f t="shared" si="82"/>
        <v>0</v>
      </c>
      <c r="O244" s="35">
        <f t="shared" si="82"/>
        <v>0</v>
      </c>
      <c r="P244" s="35">
        <f t="shared" si="82"/>
        <v>0</v>
      </c>
      <c r="Q244" s="35">
        <f t="shared" si="82"/>
        <v>0</v>
      </c>
      <c r="R244" s="35">
        <f t="shared" si="82"/>
        <v>0</v>
      </c>
      <c r="S244" s="35">
        <f t="shared" si="82"/>
        <v>3597</v>
      </c>
      <c r="T244" s="35">
        <f t="shared" si="82"/>
        <v>3597</v>
      </c>
      <c r="U244" s="255">
        <f t="shared" si="82"/>
        <v>0</v>
      </c>
      <c r="V244" s="255">
        <f t="shared" si="82"/>
        <v>0</v>
      </c>
    </row>
    <row r="245" spans="1:22" ht="18.75" x14ac:dyDescent="0.3">
      <c r="A245" s="380" t="s">
        <v>55</v>
      </c>
      <c r="B245" s="380"/>
      <c r="C245" s="268"/>
      <c r="D245" s="268"/>
      <c r="E245" s="268"/>
      <c r="F245" s="268"/>
      <c r="G245" s="268"/>
      <c r="H245" s="268"/>
      <c r="I245" s="268"/>
      <c r="J245" s="268"/>
      <c r="K245" s="268"/>
      <c r="L245" s="268"/>
      <c r="M245" s="268"/>
      <c r="N245" s="268"/>
      <c r="O245" s="268"/>
      <c r="P245" s="268"/>
      <c r="Q245" s="268"/>
      <c r="R245" s="268"/>
      <c r="S245" s="268"/>
      <c r="T245" s="268"/>
      <c r="U245" s="268"/>
      <c r="V245" s="270"/>
    </row>
    <row r="246" spans="1:22" ht="18.75" x14ac:dyDescent="0.3">
      <c r="A246" s="216" t="s">
        <v>17</v>
      </c>
      <c r="B246" s="217">
        <v>225</v>
      </c>
      <c r="C246" s="202">
        <f t="shared" ref="C246" si="83">SUM(C247:C249)</f>
        <v>0</v>
      </c>
      <c r="D246" s="202">
        <v>0</v>
      </c>
      <c r="E246" s="202">
        <f t="shared" ref="E246:V246" si="84">SUM(E247:E249)</f>
        <v>0</v>
      </c>
      <c r="F246" s="202">
        <f t="shared" si="84"/>
        <v>0</v>
      </c>
      <c r="G246" s="202">
        <f t="shared" si="84"/>
        <v>0</v>
      </c>
      <c r="H246" s="202">
        <f t="shared" si="84"/>
        <v>0</v>
      </c>
      <c r="I246" s="202">
        <f t="shared" si="84"/>
        <v>0</v>
      </c>
      <c r="J246" s="202">
        <f t="shared" si="84"/>
        <v>0</v>
      </c>
      <c r="K246" s="202">
        <f t="shared" si="84"/>
        <v>0</v>
      </c>
      <c r="L246" s="202">
        <f t="shared" si="84"/>
        <v>0</v>
      </c>
      <c r="M246" s="202">
        <f t="shared" si="84"/>
        <v>0</v>
      </c>
      <c r="N246" s="202">
        <f t="shared" si="84"/>
        <v>0</v>
      </c>
      <c r="O246" s="202">
        <f t="shared" si="84"/>
        <v>0</v>
      </c>
      <c r="P246" s="202">
        <f t="shared" si="84"/>
        <v>0</v>
      </c>
      <c r="Q246" s="202">
        <f t="shared" si="84"/>
        <v>0</v>
      </c>
      <c r="R246" s="202">
        <f t="shared" si="84"/>
        <v>0</v>
      </c>
      <c r="S246" s="202">
        <f t="shared" si="84"/>
        <v>0</v>
      </c>
      <c r="T246" s="202">
        <f t="shared" si="84"/>
        <v>0</v>
      </c>
      <c r="U246" s="229">
        <f t="shared" si="84"/>
        <v>0</v>
      </c>
      <c r="V246" s="229">
        <f t="shared" si="84"/>
        <v>0</v>
      </c>
    </row>
    <row r="247" spans="1:22" ht="18.75" x14ac:dyDescent="0.3">
      <c r="A247" s="22" t="s">
        <v>89</v>
      </c>
      <c r="B247" s="60"/>
      <c r="C247" s="112"/>
      <c r="D247" s="239"/>
      <c r="E247" s="19">
        <f>C247-D247</f>
        <v>0</v>
      </c>
      <c r="F247" s="143"/>
      <c r="G247" s="20">
        <f>E247-F247</f>
        <v>0</v>
      </c>
      <c r="H247" s="265"/>
      <c r="I247" s="112"/>
      <c r="J247" s="147"/>
      <c r="K247" s="20">
        <f t="shared" ref="K247:K259" si="85">I247-J247</f>
        <v>0</v>
      </c>
      <c r="L247" s="138"/>
      <c r="M247" s="155"/>
      <c r="N247" s="21">
        <f>L247-M247</f>
        <v>0</v>
      </c>
      <c r="O247" s="235"/>
      <c r="P247" s="152"/>
      <c r="Q247" s="21">
        <f t="shared" ref="Q247:Q259" si="86">O247-P247</f>
        <v>0</v>
      </c>
      <c r="R247" s="174"/>
      <c r="S247" s="113">
        <f>I247-O247-R247</f>
        <v>0</v>
      </c>
      <c r="T247" s="186">
        <f>I247-L247</f>
        <v>0</v>
      </c>
      <c r="U247" s="3"/>
      <c r="V247" s="313"/>
    </row>
    <row r="248" spans="1:22" ht="18.75" x14ac:dyDescent="0.3">
      <c r="A248" s="22" t="s">
        <v>101</v>
      </c>
      <c r="B248" s="60"/>
      <c r="C248" s="112"/>
      <c r="D248" s="239"/>
      <c r="E248" s="19">
        <f>C248-D248</f>
        <v>0</v>
      </c>
      <c r="F248" s="143"/>
      <c r="G248" s="20">
        <f>E248-F248</f>
        <v>0</v>
      </c>
      <c r="H248" s="265"/>
      <c r="I248" s="112"/>
      <c r="J248" s="147"/>
      <c r="K248" s="20">
        <f t="shared" si="85"/>
        <v>0</v>
      </c>
      <c r="L248" s="138"/>
      <c r="M248" s="155"/>
      <c r="N248" s="21">
        <f>L248-M248</f>
        <v>0</v>
      </c>
      <c r="O248" s="235"/>
      <c r="P248" s="152"/>
      <c r="Q248" s="21">
        <f t="shared" si="86"/>
        <v>0</v>
      </c>
      <c r="R248" s="174"/>
      <c r="S248" s="113">
        <f>I248-O248-R248</f>
        <v>0</v>
      </c>
      <c r="T248" s="186">
        <f>I248-L248</f>
        <v>0</v>
      </c>
      <c r="U248" s="3"/>
      <c r="V248" s="313"/>
    </row>
    <row r="249" spans="1:22" ht="18.75" x14ac:dyDescent="0.3">
      <c r="A249" s="30" t="s">
        <v>122</v>
      </c>
      <c r="B249" s="60"/>
      <c r="C249" s="112"/>
      <c r="D249" s="239"/>
      <c r="E249" s="19">
        <f>C249-D249</f>
        <v>0</v>
      </c>
      <c r="F249" s="143"/>
      <c r="G249" s="20">
        <f>E249-F249</f>
        <v>0</v>
      </c>
      <c r="H249" s="265"/>
      <c r="I249" s="112"/>
      <c r="J249" s="147"/>
      <c r="K249" s="20">
        <f t="shared" si="85"/>
        <v>0</v>
      </c>
      <c r="L249" s="138"/>
      <c r="M249" s="155"/>
      <c r="N249" s="25">
        <f>L249-M249</f>
        <v>0</v>
      </c>
      <c r="O249" s="235"/>
      <c r="P249" s="152"/>
      <c r="Q249" s="21">
        <f t="shared" si="86"/>
        <v>0</v>
      </c>
      <c r="R249" s="174"/>
      <c r="S249" s="113">
        <f>I249-O249-R249</f>
        <v>0</v>
      </c>
      <c r="T249" s="186">
        <f>I249-L249</f>
        <v>0</v>
      </c>
      <c r="U249" s="3"/>
      <c r="V249" s="313"/>
    </row>
    <row r="250" spans="1:22" ht="18.75" x14ac:dyDescent="0.3">
      <c r="A250" s="218" t="s">
        <v>22</v>
      </c>
      <c r="B250" s="190">
        <v>226</v>
      </c>
      <c r="C250" s="202">
        <f t="shared" ref="C250" si="87">SUM(C251:C253)</f>
        <v>0</v>
      </c>
      <c r="D250" s="202">
        <v>0</v>
      </c>
      <c r="E250" s="202">
        <f t="shared" ref="E250:V250" si="88">SUM(E251:E253)</f>
        <v>0</v>
      </c>
      <c r="F250" s="202">
        <f t="shared" si="88"/>
        <v>0</v>
      </c>
      <c r="G250" s="202">
        <f t="shared" si="88"/>
        <v>0</v>
      </c>
      <c r="H250" s="202">
        <f t="shared" si="88"/>
        <v>0</v>
      </c>
      <c r="I250" s="202">
        <f t="shared" si="88"/>
        <v>0</v>
      </c>
      <c r="J250" s="202">
        <f t="shared" si="88"/>
        <v>0</v>
      </c>
      <c r="K250" s="202">
        <f t="shared" si="88"/>
        <v>0</v>
      </c>
      <c r="L250" s="202">
        <f t="shared" si="88"/>
        <v>0</v>
      </c>
      <c r="M250" s="202">
        <f t="shared" si="88"/>
        <v>0</v>
      </c>
      <c r="N250" s="202">
        <f t="shared" si="88"/>
        <v>0</v>
      </c>
      <c r="O250" s="202">
        <f t="shared" si="88"/>
        <v>0</v>
      </c>
      <c r="P250" s="202">
        <f t="shared" si="88"/>
        <v>0</v>
      </c>
      <c r="Q250" s="202">
        <f t="shared" si="88"/>
        <v>0</v>
      </c>
      <c r="R250" s="202">
        <f t="shared" si="88"/>
        <v>0</v>
      </c>
      <c r="S250" s="202">
        <f t="shared" si="88"/>
        <v>0</v>
      </c>
      <c r="T250" s="202">
        <f t="shared" si="88"/>
        <v>0</v>
      </c>
      <c r="U250" s="229">
        <f t="shared" si="88"/>
        <v>0</v>
      </c>
      <c r="V250" s="229">
        <f t="shared" si="88"/>
        <v>0</v>
      </c>
    </row>
    <row r="251" spans="1:22" ht="20.25" x14ac:dyDescent="0.3">
      <c r="A251" s="16" t="s">
        <v>229</v>
      </c>
      <c r="B251" s="60"/>
      <c r="C251" s="120"/>
      <c r="D251" s="239"/>
      <c r="E251" s="19">
        <f>C251-D251</f>
        <v>0</v>
      </c>
      <c r="F251" s="143"/>
      <c r="G251" s="20">
        <f>E251-F251</f>
        <v>0</v>
      </c>
      <c r="H251" s="127"/>
      <c r="I251" s="120"/>
      <c r="J251" s="147"/>
      <c r="K251" s="20">
        <f t="shared" si="85"/>
        <v>0</v>
      </c>
      <c r="L251" s="138"/>
      <c r="M251" s="155"/>
      <c r="N251" s="21">
        <f>L251-M251</f>
        <v>0</v>
      </c>
      <c r="O251" s="235"/>
      <c r="P251" s="152"/>
      <c r="Q251" s="21">
        <f t="shared" si="86"/>
        <v>0</v>
      </c>
      <c r="R251" s="174"/>
      <c r="S251" s="113">
        <f>I251-O251-R251</f>
        <v>0</v>
      </c>
      <c r="T251" s="187"/>
      <c r="U251" s="3"/>
      <c r="V251" s="313"/>
    </row>
    <row r="252" spans="1:22" ht="20.25" x14ac:dyDescent="0.3">
      <c r="A252" s="36" t="s">
        <v>228</v>
      </c>
      <c r="B252" s="60"/>
      <c r="C252" s="120"/>
      <c r="D252" s="239"/>
      <c r="E252" s="19">
        <f>C252-D252</f>
        <v>0</v>
      </c>
      <c r="F252" s="143"/>
      <c r="G252" s="20">
        <f>E252-F252</f>
        <v>0</v>
      </c>
      <c r="H252" s="127"/>
      <c r="I252" s="120"/>
      <c r="J252" s="147"/>
      <c r="K252" s="20">
        <f t="shared" si="85"/>
        <v>0</v>
      </c>
      <c r="L252" s="138"/>
      <c r="M252" s="155"/>
      <c r="N252" s="21">
        <f>L252-M252</f>
        <v>0</v>
      </c>
      <c r="O252" s="235"/>
      <c r="P252" s="152"/>
      <c r="Q252" s="21">
        <f t="shared" si="86"/>
        <v>0</v>
      </c>
      <c r="R252" s="174"/>
      <c r="S252" s="113">
        <f>I252-O252-R252</f>
        <v>0</v>
      </c>
      <c r="T252" s="186">
        <f>I252-L252</f>
        <v>0</v>
      </c>
      <c r="U252" s="3"/>
      <c r="V252" s="313"/>
    </row>
    <row r="253" spans="1:22" ht="20.25" x14ac:dyDescent="0.3">
      <c r="A253" s="36" t="s">
        <v>217</v>
      </c>
      <c r="B253" s="60"/>
      <c r="C253" s="120"/>
      <c r="D253" s="239"/>
      <c r="E253" s="19">
        <f>C253-D253</f>
        <v>0</v>
      </c>
      <c r="F253" s="143"/>
      <c r="G253" s="20">
        <f>E253-F253</f>
        <v>0</v>
      </c>
      <c r="H253" s="127"/>
      <c r="I253" s="120"/>
      <c r="J253" s="147"/>
      <c r="K253" s="20">
        <f t="shared" si="85"/>
        <v>0</v>
      </c>
      <c r="L253" s="138"/>
      <c r="M253" s="155"/>
      <c r="N253" s="25">
        <f>L253-M253</f>
        <v>0</v>
      </c>
      <c r="O253" s="235"/>
      <c r="P253" s="152"/>
      <c r="Q253" s="21">
        <f t="shared" si="86"/>
        <v>0</v>
      </c>
      <c r="R253" s="174"/>
      <c r="S253" s="113">
        <f>I253-O253-R253</f>
        <v>0</v>
      </c>
      <c r="T253" s="186">
        <f>I253-L253</f>
        <v>0</v>
      </c>
      <c r="U253" s="3"/>
      <c r="V253" s="313"/>
    </row>
    <row r="254" spans="1:22" ht="18.75" x14ac:dyDescent="0.3">
      <c r="A254" s="219" t="s">
        <v>24</v>
      </c>
      <c r="B254" s="190">
        <v>310</v>
      </c>
      <c r="C254" s="202">
        <f t="shared" ref="C254" si="89">SUM(C255:C257)</f>
        <v>0</v>
      </c>
      <c r="D254" s="202">
        <v>0</v>
      </c>
      <c r="E254" s="202">
        <f t="shared" ref="E254:V254" si="90">SUM(E255:E257)</f>
        <v>0</v>
      </c>
      <c r="F254" s="202">
        <f t="shared" si="90"/>
        <v>0</v>
      </c>
      <c r="G254" s="202">
        <f t="shared" si="90"/>
        <v>0</v>
      </c>
      <c r="H254" s="202">
        <f t="shared" si="90"/>
        <v>0</v>
      </c>
      <c r="I254" s="202">
        <f t="shared" si="90"/>
        <v>0</v>
      </c>
      <c r="J254" s="202">
        <f t="shared" si="90"/>
        <v>0</v>
      </c>
      <c r="K254" s="202">
        <f t="shared" si="90"/>
        <v>0</v>
      </c>
      <c r="L254" s="202">
        <f t="shared" si="90"/>
        <v>0</v>
      </c>
      <c r="M254" s="202">
        <f t="shared" si="90"/>
        <v>0</v>
      </c>
      <c r="N254" s="202">
        <f t="shared" si="90"/>
        <v>0</v>
      </c>
      <c r="O254" s="202">
        <f t="shared" si="90"/>
        <v>0</v>
      </c>
      <c r="P254" s="202">
        <f t="shared" si="90"/>
        <v>0</v>
      </c>
      <c r="Q254" s="202">
        <f t="shared" si="90"/>
        <v>0</v>
      </c>
      <c r="R254" s="202">
        <f t="shared" si="90"/>
        <v>0</v>
      </c>
      <c r="S254" s="202">
        <f t="shared" si="90"/>
        <v>0</v>
      </c>
      <c r="T254" s="202">
        <f t="shared" si="90"/>
        <v>0</v>
      </c>
      <c r="U254" s="229">
        <f t="shared" si="90"/>
        <v>0</v>
      </c>
      <c r="V254" s="229">
        <f t="shared" si="90"/>
        <v>0</v>
      </c>
    </row>
    <row r="255" spans="1:22" ht="18.75" x14ac:dyDescent="0.3">
      <c r="A255" s="22"/>
      <c r="B255" s="60"/>
      <c r="C255" s="120"/>
      <c r="D255" s="239"/>
      <c r="E255" s="19">
        <f>C255-D255</f>
        <v>0</v>
      </c>
      <c r="F255" s="143"/>
      <c r="G255" s="20">
        <f>E255-F255</f>
        <v>0</v>
      </c>
      <c r="H255" s="127"/>
      <c r="I255" s="120"/>
      <c r="J255" s="147"/>
      <c r="K255" s="20">
        <f t="shared" si="85"/>
        <v>0</v>
      </c>
      <c r="L255" s="138"/>
      <c r="M255" s="155"/>
      <c r="N255" s="21">
        <f>L255-M255</f>
        <v>0</v>
      </c>
      <c r="O255" s="235"/>
      <c r="P255" s="152"/>
      <c r="Q255" s="21">
        <f t="shared" si="86"/>
        <v>0</v>
      </c>
      <c r="R255" s="174"/>
      <c r="S255" s="113">
        <f>I255-O255-R255</f>
        <v>0</v>
      </c>
      <c r="T255" s="186">
        <f>I255-L255</f>
        <v>0</v>
      </c>
      <c r="U255" s="3"/>
      <c r="V255" s="313"/>
    </row>
    <row r="256" spans="1:22" ht="18.75" x14ac:dyDescent="0.3">
      <c r="A256" s="22"/>
      <c r="B256" s="60"/>
      <c r="C256" s="120"/>
      <c r="D256" s="239"/>
      <c r="E256" s="19">
        <f>C256-D256</f>
        <v>0</v>
      </c>
      <c r="F256" s="143"/>
      <c r="G256" s="20">
        <f>E256-F256</f>
        <v>0</v>
      </c>
      <c r="H256" s="127"/>
      <c r="I256" s="120"/>
      <c r="J256" s="147"/>
      <c r="K256" s="20">
        <f t="shared" si="85"/>
        <v>0</v>
      </c>
      <c r="L256" s="138"/>
      <c r="M256" s="155"/>
      <c r="N256" s="21">
        <f>L256-M256</f>
        <v>0</v>
      </c>
      <c r="O256" s="235"/>
      <c r="P256" s="152"/>
      <c r="Q256" s="21">
        <f t="shared" si="86"/>
        <v>0</v>
      </c>
      <c r="R256" s="174"/>
      <c r="S256" s="113">
        <f>I256-O256-R256</f>
        <v>0</v>
      </c>
      <c r="T256" s="186">
        <f>I256-L256</f>
        <v>0</v>
      </c>
      <c r="U256" s="3"/>
      <c r="V256" s="313"/>
    </row>
    <row r="257" spans="1:22" ht="18.75" x14ac:dyDescent="0.3">
      <c r="A257" s="22"/>
      <c r="B257" s="60"/>
      <c r="C257" s="120"/>
      <c r="D257" s="239"/>
      <c r="E257" s="19">
        <f>C257-D257</f>
        <v>0</v>
      </c>
      <c r="F257" s="143"/>
      <c r="G257" s="20">
        <f>E257-F257</f>
        <v>0</v>
      </c>
      <c r="H257" s="127"/>
      <c r="I257" s="120"/>
      <c r="J257" s="147"/>
      <c r="K257" s="20">
        <f t="shared" si="85"/>
        <v>0</v>
      </c>
      <c r="L257" s="138"/>
      <c r="M257" s="155"/>
      <c r="N257" s="25">
        <f>L257-M257</f>
        <v>0</v>
      </c>
      <c r="O257" s="235"/>
      <c r="P257" s="152"/>
      <c r="Q257" s="21">
        <f t="shared" si="86"/>
        <v>0</v>
      </c>
      <c r="R257" s="174"/>
      <c r="S257" s="113">
        <f>I257-O257-R257</f>
        <v>0</v>
      </c>
      <c r="T257" s="186">
        <f>I257-L257</f>
        <v>0</v>
      </c>
      <c r="U257" s="3"/>
      <c r="V257" s="313"/>
    </row>
    <row r="258" spans="1:22" ht="18.75" x14ac:dyDescent="0.3">
      <c r="A258" s="219" t="s">
        <v>26</v>
      </c>
      <c r="B258" s="190">
        <v>340</v>
      </c>
      <c r="C258" s="202">
        <f t="shared" ref="C258:V258" si="91">C259</f>
        <v>0</v>
      </c>
      <c r="D258" s="202">
        <v>0</v>
      </c>
      <c r="E258" s="202">
        <f t="shared" si="91"/>
        <v>0</v>
      </c>
      <c r="F258" s="202">
        <f t="shared" si="91"/>
        <v>0</v>
      </c>
      <c r="G258" s="202">
        <f t="shared" si="91"/>
        <v>0</v>
      </c>
      <c r="H258" s="202">
        <f t="shared" si="91"/>
        <v>0</v>
      </c>
      <c r="I258" s="202">
        <f t="shared" si="91"/>
        <v>0</v>
      </c>
      <c r="J258" s="202">
        <f t="shared" si="91"/>
        <v>0</v>
      </c>
      <c r="K258" s="202">
        <f t="shared" si="91"/>
        <v>0</v>
      </c>
      <c r="L258" s="202">
        <f t="shared" si="91"/>
        <v>0</v>
      </c>
      <c r="M258" s="202">
        <f t="shared" si="91"/>
        <v>0</v>
      </c>
      <c r="N258" s="202">
        <f t="shared" si="91"/>
        <v>0</v>
      </c>
      <c r="O258" s="202">
        <f t="shared" si="91"/>
        <v>0</v>
      </c>
      <c r="P258" s="202">
        <f t="shared" si="91"/>
        <v>0</v>
      </c>
      <c r="Q258" s="202">
        <f t="shared" si="91"/>
        <v>0</v>
      </c>
      <c r="R258" s="202">
        <f t="shared" si="91"/>
        <v>0</v>
      </c>
      <c r="S258" s="202">
        <f t="shared" si="91"/>
        <v>0</v>
      </c>
      <c r="T258" s="202">
        <f t="shared" si="91"/>
        <v>0</v>
      </c>
      <c r="U258" s="229">
        <f t="shared" si="91"/>
        <v>0</v>
      </c>
      <c r="V258" s="229">
        <f t="shared" si="91"/>
        <v>0</v>
      </c>
    </row>
    <row r="259" spans="1:22" ht="18.75" x14ac:dyDescent="0.3">
      <c r="A259" s="32"/>
      <c r="B259" s="64"/>
      <c r="C259" s="120"/>
      <c r="D259" s="240"/>
      <c r="E259" s="37">
        <f>C259-D259</f>
        <v>0</v>
      </c>
      <c r="F259" s="232"/>
      <c r="G259" s="63">
        <f>E259-F259</f>
        <v>0</v>
      </c>
      <c r="H259" s="127"/>
      <c r="I259" s="120"/>
      <c r="J259" s="145"/>
      <c r="K259" s="63">
        <f t="shared" si="85"/>
        <v>0</v>
      </c>
      <c r="L259" s="138"/>
      <c r="M259" s="156"/>
      <c r="N259" s="21">
        <f>L259-M259</f>
        <v>0</v>
      </c>
      <c r="O259" s="249"/>
      <c r="P259" s="164"/>
      <c r="Q259" s="25">
        <f t="shared" si="86"/>
        <v>0</v>
      </c>
      <c r="R259" s="176"/>
      <c r="S259" s="114">
        <f>I259-O259-R259</f>
        <v>0</v>
      </c>
      <c r="T259" s="188">
        <f>I259-L259</f>
        <v>0</v>
      </c>
      <c r="U259" s="4"/>
      <c r="V259" s="313"/>
    </row>
    <row r="260" spans="1:22" ht="37.5" x14ac:dyDescent="0.2">
      <c r="A260" s="278" t="s">
        <v>51</v>
      </c>
      <c r="B260" s="274"/>
      <c r="C260" s="275">
        <f t="shared" ref="C260" si="92">C246+C250+C254+C258</f>
        <v>0</v>
      </c>
      <c r="D260" s="275">
        <v>0</v>
      </c>
      <c r="E260" s="275">
        <f t="shared" ref="E260:V260" si="93">E246+E250+E254+E258</f>
        <v>0</v>
      </c>
      <c r="F260" s="275">
        <f t="shared" si="93"/>
        <v>0</v>
      </c>
      <c r="G260" s="275">
        <f t="shared" si="93"/>
        <v>0</v>
      </c>
      <c r="H260" s="275">
        <f t="shared" si="93"/>
        <v>0</v>
      </c>
      <c r="I260" s="275">
        <f t="shared" si="93"/>
        <v>0</v>
      </c>
      <c r="J260" s="275">
        <f t="shared" si="93"/>
        <v>0</v>
      </c>
      <c r="K260" s="275">
        <f t="shared" si="93"/>
        <v>0</v>
      </c>
      <c r="L260" s="275">
        <f t="shared" si="93"/>
        <v>0</v>
      </c>
      <c r="M260" s="275">
        <f t="shared" si="93"/>
        <v>0</v>
      </c>
      <c r="N260" s="275">
        <f t="shared" si="93"/>
        <v>0</v>
      </c>
      <c r="O260" s="275">
        <f t="shared" si="93"/>
        <v>0</v>
      </c>
      <c r="P260" s="275">
        <f t="shared" si="93"/>
        <v>0</v>
      </c>
      <c r="Q260" s="275">
        <f t="shared" si="93"/>
        <v>0</v>
      </c>
      <c r="R260" s="275">
        <f t="shared" si="93"/>
        <v>0</v>
      </c>
      <c r="S260" s="275">
        <f t="shared" si="93"/>
        <v>0</v>
      </c>
      <c r="T260" s="275">
        <f t="shared" si="93"/>
        <v>0</v>
      </c>
      <c r="U260" s="281">
        <f t="shared" si="93"/>
        <v>0</v>
      </c>
      <c r="V260" s="281">
        <f t="shared" si="93"/>
        <v>0</v>
      </c>
    </row>
    <row r="261" spans="1:22" ht="56.25" x14ac:dyDescent="0.2">
      <c r="A261" s="320" t="s">
        <v>254</v>
      </c>
      <c r="B261" s="321"/>
      <c r="C261" s="280"/>
      <c r="D261" s="280"/>
      <c r="E261" s="280"/>
      <c r="F261" s="280"/>
      <c r="G261" s="280"/>
      <c r="H261" s="280"/>
      <c r="I261" s="280"/>
      <c r="J261" s="280"/>
      <c r="K261" s="280"/>
      <c r="L261" s="280"/>
      <c r="M261" s="280"/>
      <c r="N261" s="280"/>
      <c r="O261" s="280"/>
      <c r="P261" s="280"/>
      <c r="Q261" s="280"/>
      <c r="R261" s="280"/>
      <c r="S261" s="280"/>
      <c r="T261" s="280"/>
      <c r="U261" s="280"/>
      <c r="V261" s="277"/>
    </row>
    <row r="262" spans="1:22" ht="18.75" x14ac:dyDescent="0.2">
      <c r="A262" s="279" t="s">
        <v>11</v>
      </c>
      <c r="B262" s="276">
        <v>221</v>
      </c>
      <c r="C262" s="200">
        <f t="shared" ref="C262:V262" si="94">C263</f>
        <v>0</v>
      </c>
      <c r="D262" s="200">
        <v>0</v>
      </c>
      <c r="E262" s="200">
        <f t="shared" si="94"/>
        <v>0</v>
      </c>
      <c r="F262" s="200">
        <f t="shared" si="94"/>
        <v>0</v>
      </c>
      <c r="G262" s="200">
        <f t="shared" si="94"/>
        <v>0</v>
      </c>
      <c r="H262" s="200">
        <f t="shared" si="94"/>
        <v>0</v>
      </c>
      <c r="I262" s="200">
        <f t="shared" si="94"/>
        <v>0</v>
      </c>
      <c r="J262" s="200">
        <f t="shared" si="94"/>
        <v>0</v>
      </c>
      <c r="K262" s="200">
        <f t="shared" si="94"/>
        <v>0</v>
      </c>
      <c r="L262" s="200">
        <f t="shared" si="94"/>
        <v>0</v>
      </c>
      <c r="M262" s="200">
        <f t="shared" si="94"/>
        <v>0</v>
      </c>
      <c r="N262" s="200">
        <f t="shared" si="94"/>
        <v>0</v>
      </c>
      <c r="O262" s="200">
        <f t="shared" si="94"/>
        <v>0</v>
      </c>
      <c r="P262" s="200">
        <f t="shared" si="94"/>
        <v>0</v>
      </c>
      <c r="Q262" s="200">
        <f t="shared" si="94"/>
        <v>0</v>
      </c>
      <c r="R262" s="200">
        <f t="shared" si="94"/>
        <v>0</v>
      </c>
      <c r="S262" s="200">
        <f t="shared" si="94"/>
        <v>0</v>
      </c>
      <c r="T262" s="200">
        <f t="shared" si="94"/>
        <v>0</v>
      </c>
      <c r="U262" s="292">
        <f t="shared" si="94"/>
        <v>0</v>
      </c>
      <c r="V262" s="292">
        <f t="shared" si="94"/>
        <v>0</v>
      </c>
    </row>
    <row r="263" spans="1:22" ht="18.75" x14ac:dyDescent="0.2">
      <c r="A263" s="225" t="s">
        <v>146</v>
      </c>
      <c r="B263" s="65"/>
      <c r="C263" s="113">
        <f>59.12+114.27-173.39</f>
        <v>0</v>
      </c>
      <c r="D263" s="241"/>
      <c r="E263" s="18">
        <f>C263-D263</f>
        <v>0</v>
      </c>
      <c r="F263" s="146"/>
      <c r="G263" s="18">
        <f>E263-F263</f>
        <v>0</v>
      </c>
      <c r="H263" s="224"/>
      <c r="I263" s="113"/>
      <c r="J263" s="146"/>
      <c r="K263" s="20">
        <f>I263-J263</f>
        <v>0</v>
      </c>
      <c r="L263" s="137"/>
      <c r="M263" s="146"/>
      <c r="N263" s="21">
        <f>L263-M263</f>
        <v>0</v>
      </c>
      <c r="O263" s="241"/>
      <c r="P263" s="146"/>
      <c r="Q263" s="25">
        <f>O263-P263</f>
        <v>0</v>
      </c>
      <c r="R263" s="172"/>
      <c r="S263" s="113">
        <f>I263-O263-R263</f>
        <v>0</v>
      </c>
      <c r="T263" s="186">
        <f>I263-L263</f>
        <v>0</v>
      </c>
      <c r="U263" s="3"/>
      <c r="V263" s="313"/>
    </row>
    <row r="264" spans="1:22" ht="18.75" x14ac:dyDescent="0.2">
      <c r="A264" s="221" t="s">
        <v>141</v>
      </c>
      <c r="B264" s="222">
        <v>225</v>
      </c>
      <c r="C264" s="202">
        <f t="shared" ref="C264" si="95">SUM(C265:C266)</f>
        <v>34879</v>
      </c>
      <c r="D264" s="202">
        <v>34879</v>
      </c>
      <c r="E264" s="202">
        <f t="shared" ref="E264:V264" si="96">SUM(E265:E266)</f>
        <v>0</v>
      </c>
      <c r="F264" s="202">
        <f t="shared" si="96"/>
        <v>0</v>
      </c>
      <c r="G264" s="202">
        <f t="shared" si="96"/>
        <v>0</v>
      </c>
      <c r="H264" s="202">
        <f t="shared" si="96"/>
        <v>0</v>
      </c>
      <c r="I264" s="202">
        <f t="shared" si="96"/>
        <v>0</v>
      </c>
      <c r="J264" s="202">
        <f t="shared" si="96"/>
        <v>0</v>
      </c>
      <c r="K264" s="202">
        <f t="shared" si="96"/>
        <v>0</v>
      </c>
      <c r="L264" s="202">
        <f t="shared" si="96"/>
        <v>0</v>
      </c>
      <c r="M264" s="202">
        <f t="shared" si="96"/>
        <v>0</v>
      </c>
      <c r="N264" s="202">
        <f t="shared" si="96"/>
        <v>0</v>
      </c>
      <c r="O264" s="202">
        <f t="shared" si="96"/>
        <v>0</v>
      </c>
      <c r="P264" s="202">
        <f t="shared" si="96"/>
        <v>0</v>
      </c>
      <c r="Q264" s="202">
        <f t="shared" si="96"/>
        <v>0</v>
      </c>
      <c r="R264" s="202">
        <f t="shared" si="96"/>
        <v>0</v>
      </c>
      <c r="S264" s="202">
        <f t="shared" si="96"/>
        <v>0</v>
      </c>
      <c r="T264" s="202">
        <f t="shared" si="96"/>
        <v>0</v>
      </c>
      <c r="U264" s="229">
        <f t="shared" si="96"/>
        <v>0</v>
      </c>
      <c r="V264" s="229">
        <f t="shared" si="96"/>
        <v>0</v>
      </c>
    </row>
    <row r="265" spans="1:22" ht="18.75" x14ac:dyDescent="0.2">
      <c r="A265" s="81" t="s">
        <v>226</v>
      </c>
      <c r="B265" s="65"/>
      <c r="C265" s="113">
        <f>34879</f>
        <v>34879</v>
      </c>
      <c r="D265" s="237">
        <v>34879</v>
      </c>
      <c r="E265" s="19">
        <f>C265-D265</f>
        <v>0</v>
      </c>
      <c r="F265" s="143"/>
      <c r="G265" s="20">
        <f>E265-F265</f>
        <v>0</v>
      </c>
      <c r="H265" s="128"/>
      <c r="I265" s="113"/>
      <c r="J265" s="154"/>
      <c r="K265" s="20">
        <f t="shared" ref="K265:K277" si="97">I265-J265</f>
        <v>0</v>
      </c>
      <c r="L265" s="168"/>
      <c r="M265" s="154"/>
      <c r="N265" s="33">
        <f>L265-M265</f>
        <v>0</v>
      </c>
      <c r="O265" s="237"/>
      <c r="P265" s="146"/>
      <c r="Q265" s="25">
        <f>O265-P265</f>
        <v>0</v>
      </c>
      <c r="R265" s="172"/>
      <c r="S265" s="113">
        <f>I265-O265-R265</f>
        <v>0</v>
      </c>
      <c r="T265" s="186">
        <f>I265-L265</f>
        <v>0</v>
      </c>
      <c r="U265" s="3"/>
      <c r="V265" s="313"/>
    </row>
    <row r="266" spans="1:22" ht="18.75" x14ac:dyDescent="0.2">
      <c r="A266" s="81" t="s">
        <v>158</v>
      </c>
      <c r="B266" s="65"/>
      <c r="C266" s="113"/>
      <c r="D266" s="237"/>
      <c r="E266" s="19">
        <f>C266-D266</f>
        <v>0</v>
      </c>
      <c r="F266" s="143"/>
      <c r="G266" s="20">
        <f>E266-F266</f>
        <v>0</v>
      </c>
      <c r="H266" s="128"/>
      <c r="I266" s="113"/>
      <c r="J266" s="154"/>
      <c r="K266" s="20">
        <f t="shared" si="97"/>
        <v>0</v>
      </c>
      <c r="L266" s="168"/>
      <c r="M266" s="154"/>
      <c r="N266" s="33">
        <f>L266-M266</f>
        <v>0</v>
      </c>
      <c r="O266" s="237"/>
      <c r="P266" s="146"/>
      <c r="Q266" s="25">
        <f>O266+P266</f>
        <v>0</v>
      </c>
      <c r="R266" s="172"/>
      <c r="S266" s="113">
        <f>I266-O266-R266</f>
        <v>0</v>
      </c>
      <c r="T266" s="186">
        <f>I266-L266</f>
        <v>0</v>
      </c>
      <c r="U266" s="3"/>
      <c r="V266" s="313"/>
    </row>
    <row r="267" spans="1:22" ht="18.75" x14ac:dyDescent="0.2">
      <c r="A267" s="221" t="s">
        <v>143</v>
      </c>
      <c r="B267" s="222">
        <v>226</v>
      </c>
      <c r="C267" s="202">
        <f t="shared" ref="C267" si="98">SUM(C268:C274)</f>
        <v>89243</v>
      </c>
      <c r="D267" s="202">
        <v>89243</v>
      </c>
      <c r="E267" s="202">
        <f t="shared" ref="E267:V267" si="99">SUM(E268:E274)</f>
        <v>0</v>
      </c>
      <c r="F267" s="202">
        <f t="shared" si="99"/>
        <v>0</v>
      </c>
      <c r="G267" s="202">
        <f t="shared" si="99"/>
        <v>0</v>
      </c>
      <c r="H267" s="202">
        <f t="shared" si="99"/>
        <v>10000</v>
      </c>
      <c r="I267" s="202">
        <f t="shared" si="99"/>
        <v>10000</v>
      </c>
      <c r="J267" s="202">
        <f t="shared" si="99"/>
        <v>0</v>
      </c>
      <c r="K267" s="202">
        <f t="shared" si="99"/>
        <v>10000</v>
      </c>
      <c r="L267" s="202">
        <f t="shared" si="99"/>
        <v>0</v>
      </c>
      <c r="M267" s="202">
        <f t="shared" si="99"/>
        <v>0</v>
      </c>
      <c r="N267" s="202">
        <f t="shared" si="99"/>
        <v>0</v>
      </c>
      <c r="O267" s="202">
        <f t="shared" si="99"/>
        <v>0</v>
      </c>
      <c r="P267" s="202">
        <f t="shared" si="99"/>
        <v>0</v>
      </c>
      <c r="Q267" s="202">
        <f t="shared" si="99"/>
        <v>0</v>
      </c>
      <c r="R267" s="202">
        <f t="shared" si="99"/>
        <v>0</v>
      </c>
      <c r="S267" s="202">
        <f t="shared" si="99"/>
        <v>10000</v>
      </c>
      <c r="T267" s="202">
        <f t="shared" si="99"/>
        <v>10000</v>
      </c>
      <c r="U267" s="229">
        <f t="shared" si="99"/>
        <v>0</v>
      </c>
      <c r="V267" s="229">
        <f t="shared" si="99"/>
        <v>0</v>
      </c>
    </row>
    <row r="268" spans="1:22" ht="56.25" x14ac:dyDescent="0.2">
      <c r="A268" s="82" t="s">
        <v>131</v>
      </c>
      <c r="B268" s="65"/>
      <c r="C268" s="113"/>
      <c r="D268" s="237"/>
      <c r="E268" s="19">
        <f t="shared" ref="E268:E274" si="100">C268-D268</f>
        <v>0</v>
      </c>
      <c r="F268" s="143"/>
      <c r="G268" s="20">
        <f t="shared" ref="G268:G274" si="101">E268-F268</f>
        <v>0</v>
      </c>
      <c r="H268" s="224"/>
      <c r="I268" s="113"/>
      <c r="J268" s="146"/>
      <c r="K268" s="20">
        <f t="shared" si="97"/>
        <v>0</v>
      </c>
      <c r="L268" s="137"/>
      <c r="M268" s="146"/>
      <c r="N268" s="33">
        <f t="shared" ref="N268:N274" si="102">L268-M268</f>
        <v>0</v>
      </c>
      <c r="O268" s="237"/>
      <c r="P268" s="146"/>
      <c r="Q268" s="19">
        <f t="shared" ref="Q268:Q274" si="103">O268-P268</f>
        <v>0</v>
      </c>
      <c r="R268" s="172"/>
      <c r="S268" s="114">
        <f t="shared" ref="S268:S274" si="104">I268-O268-R268</f>
        <v>0</v>
      </c>
      <c r="T268" s="186">
        <f t="shared" ref="T268:T274" si="105">I268-L268</f>
        <v>0</v>
      </c>
      <c r="U268" s="3"/>
      <c r="V268" s="313"/>
    </row>
    <row r="269" spans="1:22" ht="18.75" x14ac:dyDescent="0.2">
      <c r="A269" s="81" t="s">
        <v>278</v>
      </c>
      <c r="B269" s="65"/>
      <c r="C269" s="113">
        <f>118840-34879+5282</f>
        <v>89243</v>
      </c>
      <c r="D269" s="241">
        <v>89243</v>
      </c>
      <c r="E269" s="19">
        <f t="shared" si="100"/>
        <v>0</v>
      </c>
      <c r="F269" s="143"/>
      <c r="G269" s="20">
        <f t="shared" si="101"/>
        <v>0</v>
      </c>
      <c r="H269" s="224"/>
      <c r="I269" s="113"/>
      <c r="J269" s="154"/>
      <c r="K269" s="20">
        <f t="shared" si="97"/>
        <v>0</v>
      </c>
      <c r="L269" s="168"/>
      <c r="M269" s="154"/>
      <c r="N269" s="33">
        <f t="shared" si="102"/>
        <v>0</v>
      </c>
      <c r="O269" s="237"/>
      <c r="P269" s="154"/>
      <c r="Q269" s="25">
        <f t="shared" si="103"/>
        <v>0</v>
      </c>
      <c r="R269" s="183"/>
      <c r="S269" s="114">
        <f t="shared" si="104"/>
        <v>0</v>
      </c>
      <c r="T269" s="186">
        <f t="shared" si="105"/>
        <v>0</v>
      </c>
      <c r="U269" s="3"/>
      <c r="V269" s="313"/>
    </row>
    <row r="270" spans="1:22" ht="18.75" x14ac:dyDescent="0.2">
      <c r="A270" s="81" t="s">
        <v>180</v>
      </c>
      <c r="B270" s="65"/>
      <c r="C270" s="113"/>
      <c r="D270" s="241"/>
      <c r="E270" s="19">
        <f t="shared" si="100"/>
        <v>0</v>
      </c>
      <c r="F270" s="143"/>
      <c r="G270" s="20">
        <f t="shared" si="101"/>
        <v>0</v>
      </c>
      <c r="H270" s="224"/>
      <c r="I270" s="113"/>
      <c r="J270" s="146"/>
      <c r="K270" s="20">
        <f t="shared" si="97"/>
        <v>0</v>
      </c>
      <c r="L270" s="137"/>
      <c r="M270" s="146"/>
      <c r="N270" s="33">
        <f t="shared" si="102"/>
        <v>0</v>
      </c>
      <c r="O270" s="241"/>
      <c r="P270" s="146"/>
      <c r="Q270" s="25">
        <f t="shared" si="103"/>
        <v>0</v>
      </c>
      <c r="R270" s="172"/>
      <c r="S270" s="114">
        <f t="shared" si="104"/>
        <v>0</v>
      </c>
      <c r="T270" s="186">
        <f t="shared" si="105"/>
        <v>0</v>
      </c>
      <c r="U270" s="3"/>
      <c r="V270" s="313"/>
    </row>
    <row r="271" spans="1:22" ht="37.5" x14ac:dyDescent="0.2">
      <c r="A271" s="81" t="s">
        <v>181</v>
      </c>
      <c r="B271" s="65"/>
      <c r="C271" s="113"/>
      <c r="D271" s="241"/>
      <c r="E271" s="19">
        <f t="shared" si="100"/>
        <v>0</v>
      </c>
      <c r="F271" s="143"/>
      <c r="G271" s="20">
        <f t="shared" si="101"/>
        <v>0</v>
      </c>
      <c r="H271" s="224"/>
      <c r="I271" s="113"/>
      <c r="J271" s="146"/>
      <c r="K271" s="20">
        <f t="shared" si="97"/>
        <v>0</v>
      </c>
      <c r="L271" s="137"/>
      <c r="M271" s="146"/>
      <c r="N271" s="33">
        <f t="shared" si="102"/>
        <v>0</v>
      </c>
      <c r="O271" s="241"/>
      <c r="P271" s="146"/>
      <c r="Q271" s="25">
        <f t="shared" si="103"/>
        <v>0</v>
      </c>
      <c r="R271" s="172"/>
      <c r="S271" s="114">
        <f t="shared" si="104"/>
        <v>0</v>
      </c>
      <c r="T271" s="186">
        <f t="shared" si="105"/>
        <v>0</v>
      </c>
      <c r="U271" s="3"/>
      <c r="V271" s="313"/>
    </row>
    <row r="272" spans="1:22" ht="18.75" x14ac:dyDescent="0.2">
      <c r="A272" s="81" t="s">
        <v>227</v>
      </c>
      <c r="B272" s="65"/>
      <c r="C272" s="113"/>
      <c r="D272" s="241"/>
      <c r="E272" s="19">
        <f t="shared" si="100"/>
        <v>0</v>
      </c>
      <c r="F272" s="143"/>
      <c r="G272" s="20">
        <f t="shared" si="101"/>
        <v>0</v>
      </c>
      <c r="H272" s="224">
        <v>10000</v>
      </c>
      <c r="I272" s="113">
        <v>10000</v>
      </c>
      <c r="J272" s="146"/>
      <c r="K272" s="20">
        <f t="shared" si="97"/>
        <v>10000</v>
      </c>
      <c r="L272" s="137"/>
      <c r="M272" s="146"/>
      <c r="N272" s="33">
        <f t="shared" si="102"/>
        <v>0</v>
      </c>
      <c r="O272" s="241"/>
      <c r="P272" s="146"/>
      <c r="Q272" s="25">
        <f t="shared" si="103"/>
        <v>0</v>
      </c>
      <c r="R272" s="172"/>
      <c r="S272" s="114">
        <f t="shared" si="104"/>
        <v>10000</v>
      </c>
      <c r="T272" s="186">
        <f t="shared" si="105"/>
        <v>10000</v>
      </c>
      <c r="U272" s="3"/>
      <c r="V272" s="313"/>
    </row>
    <row r="273" spans="1:22" ht="18.75" x14ac:dyDescent="0.2">
      <c r="A273" s="81" t="s">
        <v>290</v>
      </c>
      <c r="B273" s="65"/>
      <c r="C273" s="113"/>
      <c r="D273" s="241"/>
      <c r="E273" s="19">
        <f t="shared" si="100"/>
        <v>0</v>
      </c>
      <c r="F273" s="143"/>
      <c r="G273" s="20">
        <f t="shared" si="101"/>
        <v>0</v>
      </c>
      <c r="H273" s="224"/>
      <c r="I273" s="113"/>
      <c r="J273" s="146"/>
      <c r="K273" s="20">
        <f t="shared" si="97"/>
        <v>0</v>
      </c>
      <c r="L273" s="137"/>
      <c r="M273" s="146"/>
      <c r="N273" s="33">
        <f t="shared" si="102"/>
        <v>0</v>
      </c>
      <c r="O273" s="241"/>
      <c r="P273" s="146"/>
      <c r="Q273" s="25">
        <f t="shared" si="103"/>
        <v>0</v>
      </c>
      <c r="R273" s="172"/>
      <c r="S273" s="114">
        <f t="shared" si="104"/>
        <v>0</v>
      </c>
      <c r="T273" s="186">
        <f t="shared" si="105"/>
        <v>0</v>
      </c>
      <c r="U273" s="3"/>
      <c r="V273" s="313"/>
    </row>
    <row r="274" spans="1:22" ht="18.75" x14ac:dyDescent="0.2">
      <c r="A274" s="81"/>
      <c r="B274" s="65"/>
      <c r="C274" s="113"/>
      <c r="D274" s="241"/>
      <c r="E274" s="19">
        <f t="shared" si="100"/>
        <v>0</v>
      </c>
      <c r="F274" s="143"/>
      <c r="G274" s="20">
        <f t="shared" si="101"/>
        <v>0</v>
      </c>
      <c r="H274" s="224"/>
      <c r="I274" s="113"/>
      <c r="J274" s="146"/>
      <c r="K274" s="20">
        <f t="shared" si="97"/>
        <v>0</v>
      </c>
      <c r="L274" s="137"/>
      <c r="M274" s="146"/>
      <c r="N274" s="33">
        <f t="shared" si="102"/>
        <v>0</v>
      </c>
      <c r="O274" s="241"/>
      <c r="P274" s="146"/>
      <c r="Q274" s="25">
        <f t="shared" si="103"/>
        <v>0</v>
      </c>
      <c r="R274" s="172"/>
      <c r="S274" s="114">
        <f t="shared" si="104"/>
        <v>0</v>
      </c>
      <c r="T274" s="186">
        <f t="shared" si="105"/>
        <v>0</v>
      </c>
      <c r="U274" s="3"/>
      <c r="V274" s="313"/>
    </row>
    <row r="275" spans="1:22" ht="18.75" x14ac:dyDescent="0.2">
      <c r="A275" s="223" t="s">
        <v>26</v>
      </c>
      <c r="B275" s="222">
        <v>346</v>
      </c>
      <c r="C275" s="202">
        <f t="shared" ref="C275" si="106">SUM(C276:C277)</f>
        <v>0</v>
      </c>
      <c r="D275" s="202">
        <v>0</v>
      </c>
      <c r="E275" s="202">
        <f t="shared" ref="E275:V275" si="107">SUM(E276:E277)</f>
        <v>0</v>
      </c>
      <c r="F275" s="202">
        <f t="shared" si="107"/>
        <v>0</v>
      </c>
      <c r="G275" s="202">
        <f t="shared" si="107"/>
        <v>0</v>
      </c>
      <c r="H275" s="202">
        <f t="shared" si="107"/>
        <v>0</v>
      </c>
      <c r="I275" s="202">
        <f t="shared" si="107"/>
        <v>0</v>
      </c>
      <c r="J275" s="202">
        <f t="shared" si="107"/>
        <v>0</v>
      </c>
      <c r="K275" s="202">
        <f t="shared" si="107"/>
        <v>0</v>
      </c>
      <c r="L275" s="202">
        <f t="shared" si="107"/>
        <v>0</v>
      </c>
      <c r="M275" s="202">
        <f t="shared" si="107"/>
        <v>0</v>
      </c>
      <c r="N275" s="202">
        <f t="shared" si="107"/>
        <v>0</v>
      </c>
      <c r="O275" s="202">
        <f t="shared" si="107"/>
        <v>0</v>
      </c>
      <c r="P275" s="202">
        <f t="shared" si="107"/>
        <v>0</v>
      </c>
      <c r="Q275" s="202">
        <f t="shared" si="107"/>
        <v>0</v>
      </c>
      <c r="R275" s="202">
        <f t="shared" si="107"/>
        <v>0</v>
      </c>
      <c r="S275" s="202">
        <f t="shared" si="107"/>
        <v>0</v>
      </c>
      <c r="T275" s="202">
        <f t="shared" si="107"/>
        <v>0</v>
      </c>
      <c r="U275" s="229">
        <f t="shared" si="107"/>
        <v>0</v>
      </c>
      <c r="V275" s="229">
        <f t="shared" si="107"/>
        <v>0</v>
      </c>
    </row>
    <row r="276" spans="1:22" ht="18.75" x14ac:dyDescent="0.2">
      <c r="A276" s="225" t="s">
        <v>142</v>
      </c>
      <c r="B276" s="65"/>
      <c r="C276" s="113">
        <f>2500+800-2975-325+123-123</f>
        <v>0</v>
      </c>
      <c r="D276" s="241"/>
      <c r="E276" s="19">
        <f>C276-D276</f>
        <v>0</v>
      </c>
      <c r="F276" s="143"/>
      <c r="G276" s="20">
        <f>E276-F276</f>
        <v>0</v>
      </c>
      <c r="H276" s="128"/>
      <c r="I276" s="113"/>
      <c r="J276" s="146"/>
      <c r="K276" s="20">
        <f t="shared" si="97"/>
        <v>0</v>
      </c>
      <c r="L276" s="137"/>
      <c r="M276" s="146"/>
      <c r="N276" s="21">
        <f>L276-M276</f>
        <v>0</v>
      </c>
      <c r="O276" s="241"/>
      <c r="P276" s="146"/>
      <c r="Q276" s="21">
        <f>O276-P276</f>
        <v>0</v>
      </c>
      <c r="R276" s="172"/>
      <c r="S276" s="113">
        <f>I276-O276-R276</f>
        <v>0</v>
      </c>
      <c r="T276" s="186">
        <f>I276-L276</f>
        <v>0</v>
      </c>
      <c r="U276" s="3"/>
      <c r="V276" s="313"/>
    </row>
    <row r="277" spans="1:22" ht="18.75" x14ac:dyDescent="0.2">
      <c r="A277" s="226" t="s">
        <v>246</v>
      </c>
      <c r="B277" s="65"/>
      <c r="C277" s="113">
        <f>2500+800-2975-325+123-123</f>
        <v>0</v>
      </c>
      <c r="D277" s="241"/>
      <c r="E277" s="19">
        <f>C277-D277</f>
        <v>0</v>
      </c>
      <c r="F277" s="143"/>
      <c r="G277" s="20">
        <f>E277-F277</f>
        <v>0</v>
      </c>
      <c r="H277" s="128"/>
      <c r="I277" s="113"/>
      <c r="J277" s="146"/>
      <c r="K277" s="20">
        <f t="shared" si="97"/>
        <v>0</v>
      </c>
      <c r="L277" s="168"/>
      <c r="M277" s="146"/>
      <c r="N277" s="21">
        <f>L277-M277</f>
        <v>0</v>
      </c>
      <c r="O277" s="237"/>
      <c r="P277" s="146"/>
      <c r="Q277" s="21">
        <f>O277-P277</f>
        <v>0</v>
      </c>
      <c r="R277" s="172"/>
      <c r="S277" s="113">
        <f>I277-O277-R277</f>
        <v>0</v>
      </c>
      <c r="T277" s="186">
        <f>I277-L277</f>
        <v>0</v>
      </c>
      <c r="U277" s="3"/>
      <c r="V277" s="313"/>
    </row>
    <row r="278" spans="1:22" ht="37.5" x14ac:dyDescent="0.2">
      <c r="A278" s="95" t="s">
        <v>51</v>
      </c>
      <c r="B278" s="80"/>
      <c r="C278" s="35">
        <f t="shared" ref="C278" si="108">C262+C264+C267+C275</f>
        <v>124122</v>
      </c>
      <c r="D278" s="35">
        <v>124122</v>
      </c>
      <c r="E278" s="35">
        <f t="shared" ref="E278:V278" si="109">E262+E264+E267+E275</f>
        <v>0</v>
      </c>
      <c r="F278" s="35">
        <f t="shared" si="109"/>
        <v>0</v>
      </c>
      <c r="G278" s="35">
        <f t="shared" si="109"/>
        <v>0</v>
      </c>
      <c r="H278" s="35">
        <f t="shared" si="109"/>
        <v>10000</v>
      </c>
      <c r="I278" s="35">
        <f t="shared" si="109"/>
        <v>10000</v>
      </c>
      <c r="J278" s="35">
        <f t="shared" si="109"/>
        <v>0</v>
      </c>
      <c r="K278" s="35">
        <f t="shared" si="109"/>
        <v>10000</v>
      </c>
      <c r="L278" s="35">
        <f t="shared" si="109"/>
        <v>0</v>
      </c>
      <c r="M278" s="35">
        <f t="shared" si="109"/>
        <v>0</v>
      </c>
      <c r="N278" s="35">
        <f t="shared" si="109"/>
        <v>0</v>
      </c>
      <c r="O278" s="35">
        <f t="shared" si="109"/>
        <v>0</v>
      </c>
      <c r="P278" s="35">
        <f t="shared" si="109"/>
        <v>0</v>
      </c>
      <c r="Q278" s="35">
        <f t="shared" si="109"/>
        <v>0</v>
      </c>
      <c r="R278" s="35">
        <f t="shared" si="109"/>
        <v>0</v>
      </c>
      <c r="S278" s="35">
        <f t="shared" si="109"/>
        <v>10000</v>
      </c>
      <c r="T278" s="35">
        <f t="shared" si="109"/>
        <v>10000</v>
      </c>
      <c r="U278" s="255">
        <f t="shared" si="109"/>
        <v>0</v>
      </c>
      <c r="V278" s="255">
        <f t="shared" si="109"/>
        <v>0</v>
      </c>
    </row>
    <row r="279" spans="1:22" s="6" customFormat="1" ht="55.5" customHeight="1" x14ac:dyDescent="0.2">
      <c r="A279" s="262" t="s">
        <v>255</v>
      </c>
      <c r="B279" s="298"/>
      <c r="C279" s="299"/>
      <c r="D279" s="299"/>
      <c r="E279" s="299"/>
      <c r="F279" s="299"/>
      <c r="G279" s="299"/>
      <c r="H279" s="299"/>
      <c r="I279" s="299"/>
      <c r="J279" s="299"/>
      <c r="K279" s="299"/>
      <c r="L279" s="299"/>
      <c r="M279" s="299"/>
      <c r="N279" s="299"/>
      <c r="O279" s="299"/>
      <c r="P279" s="299"/>
      <c r="Q279" s="299"/>
      <c r="R279" s="299"/>
      <c r="S279" s="299"/>
      <c r="T279" s="299"/>
      <c r="U279" s="299"/>
      <c r="V279" s="300"/>
    </row>
    <row r="280" spans="1:22" s="6" customFormat="1" ht="18.75" x14ac:dyDescent="0.2">
      <c r="A280" s="189" t="s">
        <v>5</v>
      </c>
      <c r="B280" s="214"/>
      <c r="C280" s="214">
        <f t="shared" ref="C280" si="110">SUM(C281:C282)</f>
        <v>0</v>
      </c>
      <c r="D280" s="214">
        <v>0</v>
      </c>
      <c r="E280" s="214">
        <f t="shared" ref="E280:V280" si="111">SUM(E281:E282)</f>
        <v>0</v>
      </c>
      <c r="F280" s="214">
        <f t="shared" si="111"/>
        <v>0</v>
      </c>
      <c r="G280" s="214">
        <f t="shared" si="111"/>
        <v>0</v>
      </c>
      <c r="H280" s="214">
        <f t="shared" si="111"/>
        <v>0</v>
      </c>
      <c r="I280" s="214">
        <f t="shared" si="111"/>
        <v>82026</v>
      </c>
      <c r="J280" s="214">
        <f t="shared" si="111"/>
        <v>0</v>
      </c>
      <c r="K280" s="214">
        <f t="shared" si="111"/>
        <v>82026</v>
      </c>
      <c r="L280" s="214">
        <f t="shared" si="111"/>
        <v>0</v>
      </c>
      <c r="M280" s="214">
        <f t="shared" si="111"/>
        <v>0</v>
      </c>
      <c r="N280" s="214">
        <f t="shared" si="111"/>
        <v>0</v>
      </c>
      <c r="O280" s="214">
        <f t="shared" si="111"/>
        <v>5859</v>
      </c>
      <c r="P280" s="214">
        <f t="shared" si="111"/>
        <v>0</v>
      </c>
      <c r="Q280" s="214">
        <f t="shared" si="111"/>
        <v>5859</v>
      </c>
      <c r="R280" s="214">
        <f t="shared" si="111"/>
        <v>0</v>
      </c>
      <c r="S280" s="214">
        <f t="shared" si="111"/>
        <v>76167</v>
      </c>
      <c r="T280" s="214">
        <f t="shared" si="111"/>
        <v>82026</v>
      </c>
      <c r="U280" s="295">
        <f t="shared" si="111"/>
        <v>0</v>
      </c>
      <c r="V280" s="295">
        <f t="shared" si="111"/>
        <v>0</v>
      </c>
    </row>
    <row r="281" spans="1:22" s="6" customFormat="1" ht="18.75" x14ac:dyDescent="0.25">
      <c r="A281" s="83" t="s">
        <v>6</v>
      </c>
      <c r="B281" s="53">
        <v>211</v>
      </c>
      <c r="C281" s="115"/>
      <c r="D281" s="242"/>
      <c r="E281" s="19">
        <f>C281-D281</f>
        <v>0</v>
      </c>
      <c r="F281" s="148"/>
      <c r="G281" s="20">
        <f>E281-F281</f>
        <v>0</v>
      </c>
      <c r="H281" s="129"/>
      <c r="I281" s="115">
        <v>63000</v>
      </c>
      <c r="J281" s="148"/>
      <c r="K281" s="20">
        <f t="shared" ref="K281:K326" si="112">I281-J281</f>
        <v>63000</v>
      </c>
      <c r="L281" s="210"/>
      <c r="M281" s="148"/>
      <c r="N281" s="21">
        <f>L281-M281</f>
        <v>0</v>
      </c>
      <c r="O281" s="242">
        <v>4500</v>
      </c>
      <c r="P281" s="148"/>
      <c r="Q281" s="258">
        <f t="shared" ref="Q281:Q320" si="113">O281-P281</f>
        <v>4500</v>
      </c>
      <c r="R281" s="173"/>
      <c r="S281" s="113">
        <f>I281-O281-R281</f>
        <v>58500</v>
      </c>
      <c r="T281" s="186">
        <f>I281-L281</f>
        <v>63000</v>
      </c>
      <c r="U281" s="40"/>
      <c r="V281" s="315"/>
    </row>
    <row r="282" spans="1:22" s="6" customFormat="1" ht="18.75" x14ac:dyDescent="0.2">
      <c r="A282" s="83" t="s">
        <v>7</v>
      </c>
      <c r="B282" s="55">
        <v>213</v>
      </c>
      <c r="C282" s="115"/>
      <c r="D282" s="242"/>
      <c r="E282" s="19">
        <f>C282-D282</f>
        <v>0</v>
      </c>
      <c r="F282" s="148"/>
      <c r="G282" s="20">
        <f>E282-F282</f>
        <v>0</v>
      </c>
      <c r="H282" s="129"/>
      <c r="I282" s="115">
        <v>19026</v>
      </c>
      <c r="J282" s="148"/>
      <c r="K282" s="20">
        <f t="shared" si="112"/>
        <v>19026</v>
      </c>
      <c r="L282" s="210"/>
      <c r="M282" s="148"/>
      <c r="N282" s="21">
        <f>L282-M282</f>
        <v>0</v>
      </c>
      <c r="O282" s="242">
        <v>1359</v>
      </c>
      <c r="P282" s="148"/>
      <c r="Q282" s="258">
        <f t="shared" si="113"/>
        <v>1359</v>
      </c>
      <c r="R282" s="173"/>
      <c r="S282" s="113">
        <f>I282-O282-R282</f>
        <v>17667</v>
      </c>
      <c r="T282" s="186">
        <f>I282-L282</f>
        <v>19026</v>
      </c>
      <c r="U282" s="40"/>
      <c r="V282" s="315"/>
    </row>
    <row r="283" spans="1:22" s="6" customFormat="1" ht="18.75" x14ac:dyDescent="0.2">
      <c r="A283" s="227" t="s">
        <v>64</v>
      </c>
      <c r="B283" s="228">
        <v>212</v>
      </c>
      <c r="C283" s="229">
        <f t="shared" ref="C283" si="114">SUM(C284:C285)</f>
        <v>0</v>
      </c>
      <c r="D283" s="229">
        <v>0</v>
      </c>
      <c r="E283" s="229">
        <f t="shared" ref="E283:V283" si="115">SUM(E284:E285)</f>
        <v>0</v>
      </c>
      <c r="F283" s="229">
        <f t="shared" si="115"/>
        <v>0</v>
      </c>
      <c r="G283" s="229">
        <f t="shared" si="115"/>
        <v>0</v>
      </c>
      <c r="H283" s="229">
        <f t="shared" si="115"/>
        <v>0</v>
      </c>
      <c r="I283" s="229">
        <f t="shared" si="115"/>
        <v>0</v>
      </c>
      <c r="J283" s="229">
        <f t="shared" si="115"/>
        <v>0</v>
      </c>
      <c r="K283" s="229">
        <f t="shared" si="115"/>
        <v>0</v>
      </c>
      <c r="L283" s="229">
        <f t="shared" si="115"/>
        <v>0</v>
      </c>
      <c r="M283" s="229">
        <f t="shared" si="115"/>
        <v>0</v>
      </c>
      <c r="N283" s="229">
        <f t="shared" si="115"/>
        <v>0</v>
      </c>
      <c r="O283" s="229">
        <f t="shared" si="115"/>
        <v>0</v>
      </c>
      <c r="P283" s="229">
        <f t="shared" si="115"/>
        <v>0</v>
      </c>
      <c r="Q283" s="229">
        <f t="shared" si="115"/>
        <v>0</v>
      </c>
      <c r="R283" s="229">
        <f t="shared" si="115"/>
        <v>0</v>
      </c>
      <c r="S283" s="229">
        <f t="shared" si="115"/>
        <v>0</v>
      </c>
      <c r="T283" s="229">
        <f t="shared" si="115"/>
        <v>0</v>
      </c>
      <c r="U283" s="229">
        <f t="shared" si="115"/>
        <v>0</v>
      </c>
      <c r="V283" s="229">
        <f t="shared" si="115"/>
        <v>0</v>
      </c>
    </row>
    <row r="284" spans="1:22" s="6" customFormat="1" ht="18.75" x14ac:dyDescent="0.2">
      <c r="A284" s="84" t="s">
        <v>59</v>
      </c>
      <c r="B284" s="60"/>
      <c r="C284" s="111"/>
      <c r="D284" s="242"/>
      <c r="E284" s="19">
        <f>C284-D284</f>
        <v>0</v>
      </c>
      <c r="F284" s="148"/>
      <c r="G284" s="20">
        <f>E284-F284</f>
        <v>0</v>
      </c>
      <c r="H284" s="264"/>
      <c r="I284" s="111"/>
      <c r="J284" s="147"/>
      <c r="K284" s="20">
        <f t="shared" si="112"/>
        <v>0</v>
      </c>
      <c r="L284" s="168"/>
      <c r="M284" s="155"/>
      <c r="N284" s="21">
        <f>L284-M284</f>
        <v>0</v>
      </c>
      <c r="O284" s="237"/>
      <c r="P284" s="154"/>
      <c r="Q284" s="258">
        <f t="shared" si="113"/>
        <v>0</v>
      </c>
      <c r="R284" s="174"/>
      <c r="S284" s="113">
        <f>I284-O284-R284</f>
        <v>0</v>
      </c>
      <c r="T284" s="186">
        <f>I284-L284</f>
        <v>0</v>
      </c>
      <c r="U284" s="3"/>
      <c r="V284" s="313"/>
    </row>
    <row r="285" spans="1:22" ht="18.75" x14ac:dyDescent="0.2">
      <c r="A285" s="86"/>
      <c r="B285" s="60"/>
      <c r="C285" s="263"/>
      <c r="D285" s="243"/>
      <c r="E285" s="19">
        <f>C285-D285</f>
        <v>0</v>
      </c>
      <c r="F285" s="148"/>
      <c r="G285" s="20">
        <f>E285-F285</f>
        <v>0</v>
      </c>
      <c r="H285" s="266"/>
      <c r="I285" s="263"/>
      <c r="J285" s="149"/>
      <c r="K285" s="20">
        <f t="shared" si="112"/>
        <v>0</v>
      </c>
      <c r="L285" s="159"/>
      <c r="M285" s="157"/>
      <c r="N285" s="21">
        <f>L285-M285</f>
        <v>0</v>
      </c>
      <c r="O285" s="248"/>
      <c r="P285" s="165"/>
      <c r="Q285" s="258">
        <f t="shared" si="113"/>
        <v>0</v>
      </c>
      <c r="R285" s="175"/>
      <c r="S285" s="113">
        <f>I285-O285-R285</f>
        <v>0</v>
      </c>
      <c r="T285" s="186">
        <f>I285-L285</f>
        <v>0</v>
      </c>
      <c r="U285" s="17"/>
      <c r="V285" s="316"/>
    </row>
    <row r="286" spans="1:22" ht="18.75" x14ac:dyDescent="0.25">
      <c r="A286" s="230" t="s">
        <v>11</v>
      </c>
      <c r="B286" s="194">
        <v>221</v>
      </c>
      <c r="C286" s="214">
        <f t="shared" ref="C286" si="116">SUM(C287:C289)</f>
        <v>0</v>
      </c>
      <c r="D286" s="214">
        <v>0</v>
      </c>
      <c r="E286" s="214">
        <f t="shared" ref="E286:V286" si="117">SUM(E287:E289)</f>
        <v>0</v>
      </c>
      <c r="F286" s="214">
        <f t="shared" si="117"/>
        <v>0</v>
      </c>
      <c r="G286" s="214">
        <f t="shared" si="117"/>
        <v>0</v>
      </c>
      <c r="H286" s="214">
        <f t="shared" si="117"/>
        <v>0</v>
      </c>
      <c r="I286" s="214">
        <f t="shared" si="117"/>
        <v>0</v>
      </c>
      <c r="J286" s="214">
        <f t="shared" si="117"/>
        <v>0</v>
      </c>
      <c r="K286" s="214">
        <f t="shared" si="117"/>
        <v>0</v>
      </c>
      <c r="L286" s="214">
        <f t="shared" si="117"/>
        <v>0</v>
      </c>
      <c r="M286" s="214">
        <f t="shared" si="117"/>
        <v>0</v>
      </c>
      <c r="N286" s="214">
        <f t="shared" si="117"/>
        <v>0</v>
      </c>
      <c r="O286" s="214">
        <f t="shared" si="117"/>
        <v>0</v>
      </c>
      <c r="P286" s="214">
        <f t="shared" si="117"/>
        <v>0</v>
      </c>
      <c r="Q286" s="214">
        <f t="shared" si="117"/>
        <v>0</v>
      </c>
      <c r="R286" s="214">
        <f t="shared" si="117"/>
        <v>0</v>
      </c>
      <c r="S286" s="214">
        <f t="shared" si="117"/>
        <v>0</v>
      </c>
      <c r="T286" s="214">
        <f t="shared" si="117"/>
        <v>0</v>
      </c>
      <c r="U286" s="295">
        <f t="shared" si="117"/>
        <v>0</v>
      </c>
      <c r="V286" s="295">
        <f t="shared" si="117"/>
        <v>0</v>
      </c>
    </row>
    <row r="287" spans="1:22" ht="18.75" x14ac:dyDescent="0.2">
      <c r="A287" s="85" t="s">
        <v>12</v>
      </c>
      <c r="B287" s="60"/>
      <c r="C287" s="119"/>
      <c r="D287" s="242"/>
      <c r="E287" s="19">
        <f>C287-D287</f>
        <v>0</v>
      </c>
      <c r="F287" s="148"/>
      <c r="G287" s="20">
        <f>E287-F287</f>
        <v>0</v>
      </c>
      <c r="H287" s="130"/>
      <c r="I287" s="119"/>
      <c r="J287" s="147"/>
      <c r="K287" s="20">
        <f t="shared" si="112"/>
        <v>0</v>
      </c>
      <c r="L287" s="136"/>
      <c r="M287" s="155"/>
      <c r="N287" s="21">
        <f t="shared" ref="N287:N320" si="118">L287-M287</f>
        <v>0</v>
      </c>
      <c r="O287" s="237"/>
      <c r="P287" s="154"/>
      <c r="Q287" s="258">
        <f t="shared" si="113"/>
        <v>0</v>
      </c>
      <c r="R287" s="174"/>
      <c r="S287" s="113">
        <f>I287-O287-R287</f>
        <v>0</v>
      </c>
      <c r="T287" s="186">
        <f>I287-L287</f>
        <v>0</v>
      </c>
      <c r="U287" s="3"/>
      <c r="V287" s="313"/>
    </row>
    <row r="288" spans="1:22" ht="18.75" x14ac:dyDescent="0.2">
      <c r="A288" s="85" t="s">
        <v>13</v>
      </c>
      <c r="B288" s="60"/>
      <c r="C288" s="119"/>
      <c r="D288" s="242"/>
      <c r="E288" s="19">
        <f>C288-D288</f>
        <v>0</v>
      </c>
      <c r="F288" s="148"/>
      <c r="G288" s="20">
        <f>E288-F288</f>
        <v>0</v>
      </c>
      <c r="H288" s="130"/>
      <c r="I288" s="119"/>
      <c r="J288" s="147"/>
      <c r="K288" s="20">
        <f t="shared" si="112"/>
        <v>0</v>
      </c>
      <c r="L288" s="136"/>
      <c r="M288" s="155"/>
      <c r="N288" s="21">
        <f t="shared" si="118"/>
        <v>0</v>
      </c>
      <c r="O288" s="237"/>
      <c r="P288" s="154"/>
      <c r="Q288" s="258">
        <f t="shared" si="113"/>
        <v>0</v>
      </c>
      <c r="R288" s="174"/>
      <c r="S288" s="113">
        <f>I288-O288-R288</f>
        <v>0</v>
      </c>
      <c r="T288" s="186">
        <f>I288-L288</f>
        <v>0</v>
      </c>
      <c r="U288" s="3"/>
      <c r="V288" s="313"/>
    </row>
    <row r="289" spans="1:22" ht="18.75" x14ac:dyDescent="0.2">
      <c r="A289" s="85" t="s">
        <v>14</v>
      </c>
      <c r="B289" s="60"/>
      <c r="C289" s="119"/>
      <c r="D289" s="242"/>
      <c r="E289" s="19">
        <f>C289-D289</f>
        <v>0</v>
      </c>
      <c r="F289" s="148"/>
      <c r="G289" s="20">
        <f>E289-F289</f>
        <v>0</v>
      </c>
      <c r="H289" s="130"/>
      <c r="I289" s="119"/>
      <c r="J289" s="147"/>
      <c r="K289" s="20">
        <f t="shared" si="112"/>
        <v>0</v>
      </c>
      <c r="L289" s="136"/>
      <c r="M289" s="155"/>
      <c r="N289" s="21">
        <f t="shared" si="118"/>
        <v>0</v>
      </c>
      <c r="O289" s="237"/>
      <c r="P289" s="154"/>
      <c r="Q289" s="258">
        <f t="shared" si="113"/>
        <v>0</v>
      </c>
      <c r="R289" s="174"/>
      <c r="S289" s="113">
        <f>I289-O289-R289</f>
        <v>0</v>
      </c>
      <c r="T289" s="186">
        <f>I289-L289</f>
        <v>0</v>
      </c>
      <c r="U289" s="3"/>
      <c r="V289" s="313"/>
    </row>
    <row r="290" spans="1:22" ht="18.75" x14ac:dyDescent="0.25">
      <c r="A290" s="196" t="s">
        <v>15</v>
      </c>
      <c r="B290" s="197">
        <v>222</v>
      </c>
      <c r="C290" s="212"/>
      <c r="D290" s="200"/>
      <c r="E290" s="198">
        <f>C290-D290</f>
        <v>0</v>
      </c>
      <c r="F290" s="199"/>
      <c r="G290" s="204">
        <f>E290-F290</f>
        <v>0</v>
      </c>
      <c r="H290" s="213"/>
      <c r="I290" s="212"/>
      <c r="J290" s="212"/>
      <c r="K290" s="204">
        <f t="shared" si="112"/>
        <v>0</v>
      </c>
      <c r="L290" s="200"/>
      <c r="M290" s="200"/>
      <c r="N290" s="200">
        <f>L290-M290</f>
        <v>0</v>
      </c>
      <c r="O290" s="200"/>
      <c r="P290" s="200"/>
      <c r="Q290" s="192">
        <f t="shared" si="113"/>
        <v>0</v>
      </c>
      <c r="R290" s="200"/>
      <c r="S290" s="202">
        <f>I290-O290-R290</f>
        <v>0</v>
      </c>
      <c r="T290" s="195">
        <f>I290-L290</f>
        <v>0</v>
      </c>
      <c r="U290" s="292"/>
      <c r="V290" s="292"/>
    </row>
    <row r="291" spans="1:22" ht="18.75" x14ac:dyDescent="0.25">
      <c r="A291" s="196" t="s">
        <v>16</v>
      </c>
      <c r="B291" s="197">
        <v>223</v>
      </c>
      <c r="C291" s="214">
        <f t="shared" ref="C291" si="119">SUM(C292:C294)</f>
        <v>0</v>
      </c>
      <c r="D291" s="214">
        <v>0</v>
      </c>
      <c r="E291" s="214">
        <f t="shared" ref="E291:V291" si="120">SUM(E292:E294)</f>
        <v>0</v>
      </c>
      <c r="F291" s="214">
        <f t="shared" si="120"/>
        <v>0</v>
      </c>
      <c r="G291" s="214">
        <f t="shared" si="120"/>
        <v>0</v>
      </c>
      <c r="H291" s="214">
        <f t="shared" si="120"/>
        <v>0</v>
      </c>
      <c r="I291" s="214">
        <f t="shared" si="120"/>
        <v>0</v>
      </c>
      <c r="J291" s="214">
        <f t="shared" si="120"/>
        <v>0</v>
      </c>
      <c r="K291" s="214">
        <f t="shared" si="120"/>
        <v>0</v>
      </c>
      <c r="L291" s="214">
        <f t="shared" si="120"/>
        <v>0</v>
      </c>
      <c r="M291" s="214">
        <f t="shared" si="120"/>
        <v>0</v>
      </c>
      <c r="N291" s="214">
        <f t="shared" si="120"/>
        <v>0</v>
      </c>
      <c r="O291" s="214">
        <f t="shared" si="120"/>
        <v>0</v>
      </c>
      <c r="P291" s="214">
        <f t="shared" si="120"/>
        <v>0</v>
      </c>
      <c r="Q291" s="214">
        <f t="shared" si="120"/>
        <v>0</v>
      </c>
      <c r="R291" s="214">
        <f t="shared" si="120"/>
        <v>0</v>
      </c>
      <c r="S291" s="214">
        <f t="shared" si="120"/>
        <v>0</v>
      </c>
      <c r="T291" s="214">
        <f t="shared" si="120"/>
        <v>0</v>
      </c>
      <c r="U291" s="295">
        <f t="shared" si="120"/>
        <v>0</v>
      </c>
      <c r="V291" s="295">
        <f t="shared" si="120"/>
        <v>0</v>
      </c>
    </row>
    <row r="292" spans="1:22" ht="18.75" x14ac:dyDescent="0.2">
      <c r="A292" s="31" t="s">
        <v>132</v>
      </c>
      <c r="B292" s="60"/>
      <c r="C292" s="119"/>
      <c r="D292" s="242"/>
      <c r="E292" s="19">
        <f>C292-D292</f>
        <v>0</v>
      </c>
      <c r="F292" s="148"/>
      <c r="G292" s="20">
        <f>E292-F292</f>
        <v>0</v>
      </c>
      <c r="H292" s="130"/>
      <c r="I292" s="119"/>
      <c r="J292" s="147"/>
      <c r="K292" s="20">
        <f t="shared" si="112"/>
        <v>0</v>
      </c>
      <c r="L292" s="136"/>
      <c r="M292" s="155"/>
      <c r="N292" s="21">
        <f t="shared" si="118"/>
        <v>0</v>
      </c>
      <c r="O292" s="237"/>
      <c r="P292" s="154"/>
      <c r="Q292" s="258">
        <f t="shared" si="113"/>
        <v>0</v>
      </c>
      <c r="R292" s="174"/>
      <c r="S292" s="113">
        <f>I292-O292-R292</f>
        <v>0</v>
      </c>
      <c r="T292" s="186">
        <f>I292-L292</f>
        <v>0</v>
      </c>
      <c r="U292" s="3"/>
      <c r="V292" s="313"/>
    </row>
    <row r="293" spans="1:22" ht="18.75" x14ac:dyDescent="0.2">
      <c r="A293" s="31" t="s">
        <v>134</v>
      </c>
      <c r="B293" s="60"/>
      <c r="C293" s="119"/>
      <c r="D293" s="242"/>
      <c r="E293" s="19">
        <f>C293-D293</f>
        <v>0</v>
      </c>
      <c r="F293" s="148"/>
      <c r="G293" s="20">
        <f>E293-F293</f>
        <v>0</v>
      </c>
      <c r="H293" s="130"/>
      <c r="I293" s="119"/>
      <c r="J293" s="147"/>
      <c r="K293" s="20">
        <f t="shared" si="112"/>
        <v>0</v>
      </c>
      <c r="L293" s="136"/>
      <c r="M293" s="155"/>
      <c r="N293" s="21">
        <f t="shared" si="118"/>
        <v>0</v>
      </c>
      <c r="O293" s="237"/>
      <c r="P293" s="154"/>
      <c r="Q293" s="258">
        <f t="shared" si="113"/>
        <v>0</v>
      </c>
      <c r="R293" s="174"/>
      <c r="S293" s="113">
        <f>I293-O293-R293</f>
        <v>0</v>
      </c>
      <c r="T293" s="186">
        <f>I293-L293</f>
        <v>0</v>
      </c>
      <c r="U293" s="3"/>
      <c r="V293" s="313"/>
    </row>
    <row r="294" spans="1:22" ht="18.75" x14ac:dyDescent="0.2">
      <c r="A294" s="31" t="s">
        <v>135</v>
      </c>
      <c r="B294" s="60"/>
      <c r="C294" s="119"/>
      <c r="D294" s="242"/>
      <c r="E294" s="19">
        <f>C294-D294</f>
        <v>0</v>
      </c>
      <c r="F294" s="148"/>
      <c r="G294" s="20">
        <f>E294-F294</f>
        <v>0</v>
      </c>
      <c r="H294" s="130"/>
      <c r="I294" s="119"/>
      <c r="J294" s="147"/>
      <c r="K294" s="20">
        <f t="shared" si="112"/>
        <v>0</v>
      </c>
      <c r="L294" s="136"/>
      <c r="M294" s="155"/>
      <c r="N294" s="21">
        <f t="shared" si="118"/>
        <v>0</v>
      </c>
      <c r="O294" s="237"/>
      <c r="P294" s="154"/>
      <c r="Q294" s="258">
        <f t="shared" si="113"/>
        <v>0</v>
      </c>
      <c r="R294" s="174"/>
      <c r="S294" s="113">
        <f>I294-O294-R294</f>
        <v>0</v>
      </c>
      <c r="T294" s="186">
        <f>I294-L294</f>
        <v>0</v>
      </c>
      <c r="U294" s="3"/>
      <c r="V294" s="313"/>
    </row>
    <row r="295" spans="1:22" ht="18.75" x14ac:dyDescent="0.2">
      <c r="A295" s="193" t="s">
        <v>17</v>
      </c>
      <c r="B295" s="203">
        <v>225</v>
      </c>
      <c r="C295" s="214">
        <f t="shared" ref="C295" si="121">SUM(C296:C300)</f>
        <v>0</v>
      </c>
      <c r="D295" s="214">
        <v>0</v>
      </c>
      <c r="E295" s="214">
        <f t="shared" ref="E295:V295" si="122">SUM(E296:E300)</f>
        <v>0</v>
      </c>
      <c r="F295" s="214">
        <f t="shared" si="122"/>
        <v>0</v>
      </c>
      <c r="G295" s="214">
        <f t="shared" si="122"/>
        <v>0</v>
      </c>
      <c r="H295" s="214">
        <f t="shared" si="122"/>
        <v>0</v>
      </c>
      <c r="I295" s="214">
        <f t="shared" si="122"/>
        <v>0</v>
      </c>
      <c r="J295" s="214">
        <f t="shared" si="122"/>
        <v>0</v>
      </c>
      <c r="K295" s="214">
        <f t="shared" si="122"/>
        <v>0</v>
      </c>
      <c r="L295" s="214">
        <f t="shared" si="122"/>
        <v>0</v>
      </c>
      <c r="M295" s="214">
        <f t="shared" si="122"/>
        <v>0</v>
      </c>
      <c r="N295" s="214">
        <f t="shared" si="122"/>
        <v>0</v>
      </c>
      <c r="O295" s="214">
        <f t="shared" si="122"/>
        <v>0</v>
      </c>
      <c r="P295" s="214">
        <f t="shared" si="122"/>
        <v>0</v>
      </c>
      <c r="Q295" s="214">
        <f t="shared" si="122"/>
        <v>0</v>
      </c>
      <c r="R295" s="214">
        <f t="shared" si="122"/>
        <v>0</v>
      </c>
      <c r="S295" s="214">
        <f t="shared" si="122"/>
        <v>0</v>
      </c>
      <c r="T295" s="214">
        <f t="shared" si="122"/>
        <v>0</v>
      </c>
      <c r="U295" s="295">
        <f t="shared" si="122"/>
        <v>0</v>
      </c>
      <c r="V295" s="295">
        <f t="shared" si="122"/>
        <v>0</v>
      </c>
    </row>
    <row r="296" spans="1:22" ht="18.75" x14ac:dyDescent="0.2">
      <c r="A296" s="31" t="s">
        <v>18</v>
      </c>
      <c r="B296" s="60"/>
      <c r="C296" s="119"/>
      <c r="D296" s="242"/>
      <c r="E296" s="19">
        <f>C296-D296</f>
        <v>0</v>
      </c>
      <c r="F296" s="148"/>
      <c r="G296" s="20">
        <f>E296-F296</f>
        <v>0</v>
      </c>
      <c r="H296" s="130"/>
      <c r="I296" s="119"/>
      <c r="J296" s="147"/>
      <c r="K296" s="20">
        <f t="shared" si="112"/>
        <v>0</v>
      </c>
      <c r="L296" s="136"/>
      <c r="M296" s="155"/>
      <c r="N296" s="21">
        <f t="shared" si="118"/>
        <v>0</v>
      </c>
      <c r="O296" s="237"/>
      <c r="P296" s="154"/>
      <c r="Q296" s="258">
        <f t="shared" si="113"/>
        <v>0</v>
      </c>
      <c r="R296" s="174"/>
      <c r="S296" s="113">
        <f>I296-O296-R296</f>
        <v>0</v>
      </c>
      <c r="T296" s="186">
        <f>I296-L296</f>
        <v>0</v>
      </c>
      <c r="U296" s="3"/>
      <c r="V296" s="313"/>
    </row>
    <row r="297" spans="1:22" ht="18.75" x14ac:dyDescent="0.2">
      <c r="A297" s="82" t="s">
        <v>260</v>
      </c>
      <c r="B297" s="60"/>
      <c r="C297" s="119"/>
      <c r="D297" s="242"/>
      <c r="E297" s="19">
        <f>C297-D297</f>
        <v>0</v>
      </c>
      <c r="F297" s="148"/>
      <c r="G297" s="20">
        <f>E297-F297</f>
        <v>0</v>
      </c>
      <c r="H297" s="130"/>
      <c r="I297" s="119"/>
      <c r="J297" s="147"/>
      <c r="K297" s="20">
        <f t="shared" si="112"/>
        <v>0</v>
      </c>
      <c r="L297" s="136"/>
      <c r="M297" s="155"/>
      <c r="N297" s="21">
        <f t="shared" si="118"/>
        <v>0</v>
      </c>
      <c r="O297" s="237"/>
      <c r="P297" s="154"/>
      <c r="Q297" s="258">
        <f t="shared" si="113"/>
        <v>0</v>
      </c>
      <c r="R297" s="174"/>
      <c r="S297" s="113">
        <f>I297-O297-R297</f>
        <v>0</v>
      </c>
      <c r="T297" s="186">
        <f>I297-L297</f>
        <v>0</v>
      </c>
      <c r="U297" s="3"/>
      <c r="V297" s="313"/>
    </row>
    <row r="298" spans="1:22" ht="18.75" x14ac:dyDescent="0.2">
      <c r="A298" s="31" t="s">
        <v>38</v>
      </c>
      <c r="B298" s="60"/>
      <c r="C298" s="119"/>
      <c r="D298" s="242"/>
      <c r="E298" s="19">
        <f>C298-D298</f>
        <v>0</v>
      </c>
      <c r="F298" s="148"/>
      <c r="G298" s="20">
        <f>E298-F298</f>
        <v>0</v>
      </c>
      <c r="H298" s="130"/>
      <c r="I298" s="119"/>
      <c r="J298" s="147"/>
      <c r="K298" s="20">
        <f t="shared" si="112"/>
        <v>0</v>
      </c>
      <c r="L298" s="136"/>
      <c r="M298" s="155"/>
      <c r="N298" s="21">
        <f t="shared" si="118"/>
        <v>0</v>
      </c>
      <c r="O298" s="237"/>
      <c r="P298" s="154"/>
      <c r="Q298" s="258">
        <f t="shared" si="113"/>
        <v>0</v>
      </c>
      <c r="R298" s="174"/>
      <c r="S298" s="113">
        <f>I298-O298-R298</f>
        <v>0</v>
      </c>
      <c r="T298" s="186">
        <f>I298-L298</f>
        <v>0</v>
      </c>
      <c r="U298" s="3"/>
      <c r="V298" s="313"/>
    </row>
    <row r="299" spans="1:22" ht="18.75" x14ac:dyDescent="0.2">
      <c r="A299" s="31" t="s">
        <v>19</v>
      </c>
      <c r="B299" s="60"/>
      <c r="C299" s="119"/>
      <c r="D299" s="242"/>
      <c r="E299" s="19">
        <f>C299-D299</f>
        <v>0</v>
      </c>
      <c r="F299" s="148"/>
      <c r="G299" s="20">
        <f>E299-F299</f>
        <v>0</v>
      </c>
      <c r="H299" s="130"/>
      <c r="I299" s="119"/>
      <c r="J299" s="147"/>
      <c r="K299" s="20">
        <f t="shared" si="112"/>
        <v>0</v>
      </c>
      <c r="L299" s="136"/>
      <c r="M299" s="155"/>
      <c r="N299" s="21">
        <f t="shared" si="118"/>
        <v>0</v>
      </c>
      <c r="O299" s="237"/>
      <c r="P299" s="154"/>
      <c r="Q299" s="258">
        <f t="shared" si="113"/>
        <v>0</v>
      </c>
      <c r="R299" s="174"/>
      <c r="S299" s="113">
        <f>I299-O299-R299</f>
        <v>0</v>
      </c>
      <c r="T299" s="186">
        <f>I299-L299</f>
        <v>0</v>
      </c>
      <c r="U299" s="3"/>
      <c r="V299" s="313"/>
    </row>
    <row r="300" spans="1:22" ht="18.75" x14ac:dyDescent="0.2">
      <c r="A300" s="11" t="s">
        <v>189</v>
      </c>
      <c r="B300" s="60"/>
      <c r="C300" s="120"/>
      <c r="D300" s="244"/>
      <c r="E300" s="19">
        <f>C300-D300</f>
        <v>0</v>
      </c>
      <c r="F300" s="148"/>
      <c r="G300" s="20">
        <f>E300-F300</f>
        <v>0</v>
      </c>
      <c r="H300" s="131"/>
      <c r="I300" s="120"/>
      <c r="J300" s="145"/>
      <c r="K300" s="20">
        <f t="shared" si="112"/>
        <v>0</v>
      </c>
      <c r="L300" s="138"/>
      <c r="M300" s="156"/>
      <c r="N300" s="21">
        <f t="shared" si="118"/>
        <v>0</v>
      </c>
      <c r="O300" s="238"/>
      <c r="P300" s="166"/>
      <c r="Q300" s="258">
        <f t="shared" si="113"/>
        <v>0</v>
      </c>
      <c r="R300" s="176"/>
      <c r="S300" s="113">
        <f>I300-O300-R300</f>
        <v>0</v>
      </c>
      <c r="T300" s="186">
        <f>I300-L300</f>
        <v>0</v>
      </c>
      <c r="U300" s="4"/>
      <c r="V300" s="314"/>
    </row>
    <row r="301" spans="1:22" ht="18.75" x14ac:dyDescent="0.2">
      <c r="A301" s="193" t="s">
        <v>22</v>
      </c>
      <c r="B301" s="190">
        <v>226</v>
      </c>
      <c r="C301" s="214">
        <f t="shared" ref="C301" si="123">SUM(C302:C310)</f>
        <v>0</v>
      </c>
      <c r="D301" s="214">
        <v>0</v>
      </c>
      <c r="E301" s="214">
        <f t="shared" ref="E301:V301" si="124">SUM(E302:E310)</f>
        <v>0</v>
      </c>
      <c r="F301" s="214">
        <f t="shared" si="124"/>
        <v>0</v>
      </c>
      <c r="G301" s="214">
        <f t="shared" si="124"/>
        <v>0</v>
      </c>
      <c r="H301" s="214">
        <f t="shared" si="124"/>
        <v>0</v>
      </c>
      <c r="I301" s="214">
        <f t="shared" si="124"/>
        <v>0</v>
      </c>
      <c r="J301" s="214">
        <f t="shared" si="124"/>
        <v>0</v>
      </c>
      <c r="K301" s="214">
        <f t="shared" si="124"/>
        <v>0</v>
      </c>
      <c r="L301" s="214">
        <f t="shared" si="124"/>
        <v>0</v>
      </c>
      <c r="M301" s="214">
        <f t="shared" si="124"/>
        <v>0</v>
      </c>
      <c r="N301" s="214">
        <f t="shared" si="124"/>
        <v>0</v>
      </c>
      <c r="O301" s="214">
        <f t="shared" si="124"/>
        <v>0</v>
      </c>
      <c r="P301" s="214">
        <f t="shared" si="124"/>
        <v>0</v>
      </c>
      <c r="Q301" s="214">
        <f t="shared" si="124"/>
        <v>0</v>
      </c>
      <c r="R301" s="214">
        <f t="shared" si="124"/>
        <v>0</v>
      </c>
      <c r="S301" s="214">
        <f t="shared" si="124"/>
        <v>0</v>
      </c>
      <c r="T301" s="214">
        <f t="shared" si="124"/>
        <v>0</v>
      </c>
      <c r="U301" s="295">
        <f t="shared" si="124"/>
        <v>0</v>
      </c>
      <c r="V301" s="295">
        <f t="shared" si="124"/>
        <v>0</v>
      </c>
    </row>
    <row r="302" spans="1:22" ht="37.5" x14ac:dyDescent="0.2">
      <c r="A302" s="31" t="s">
        <v>61</v>
      </c>
      <c r="B302" s="60"/>
      <c r="C302" s="119"/>
      <c r="D302" s="242"/>
      <c r="E302" s="19">
        <f t="shared" ref="E302:E310" si="125">C302-D302</f>
        <v>0</v>
      </c>
      <c r="F302" s="148"/>
      <c r="G302" s="20">
        <f t="shared" ref="G302:G310" si="126">E302-F302</f>
        <v>0</v>
      </c>
      <c r="H302" s="130"/>
      <c r="I302" s="119"/>
      <c r="J302" s="147"/>
      <c r="K302" s="20">
        <f t="shared" si="112"/>
        <v>0</v>
      </c>
      <c r="L302" s="136"/>
      <c r="M302" s="155"/>
      <c r="N302" s="21">
        <f t="shared" si="118"/>
        <v>0</v>
      </c>
      <c r="O302" s="237"/>
      <c r="P302" s="154"/>
      <c r="Q302" s="258">
        <f t="shared" si="113"/>
        <v>0</v>
      </c>
      <c r="R302" s="174"/>
      <c r="S302" s="113">
        <f t="shared" ref="S302:S310" si="127">I302-O302-R302</f>
        <v>0</v>
      </c>
      <c r="T302" s="186">
        <f t="shared" ref="T302:T310" si="128">I302-L302</f>
        <v>0</v>
      </c>
      <c r="U302" s="3"/>
      <c r="V302" s="313"/>
    </row>
    <row r="303" spans="1:22" ht="24.75" customHeight="1" x14ac:dyDescent="0.2">
      <c r="A303" s="82" t="s">
        <v>259</v>
      </c>
      <c r="B303" s="60"/>
      <c r="C303" s="119"/>
      <c r="D303" s="242"/>
      <c r="E303" s="19">
        <f t="shared" si="125"/>
        <v>0</v>
      </c>
      <c r="F303" s="148"/>
      <c r="G303" s="20">
        <f t="shared" si="126"/>
        <v>0</v>
      </c>
      <c r="H303" s="130"/>
      <c r="I303" s="119"/>
      <c r="J303" s="147"/>
      <c r="K303" s="20">
        <f t="shared" si="112"/>
        <v>0</v>
      </c>
      <c r="L303" s="136"/>
      <c r="M303" s="155"/>
      <c r="N303" s="21">
        <f t="shared" si="118"/>
        <v>0</v>
      </c>
      <c r="O303" s="237"/>
      <c r="P303" s="154"/>
      <c r="Q303" s="258">
        <f t="shared" si="113"/>
        <v>0</v>
      </c>
      <c r="R303" s="174"/>
      <c r="S303" s="113">
        <f t="shared" si="127"/>
        <v>0</v>
      </c>
      <c r="T303" s="186">
        <f t="shared" si="128"/>
        <v>0</v>
      </c>
      <c r="U303" s="3"/>
      <c r="V303" s="313"/>
    </row>
    <row r="304" spans="1:22" ht="24" customHeight="1" x14ac:dyDescent="0.2">
      <c r="A304" s="85" t="s">
        <v>257</v>
      </c>
      <c r="B304" s="60"/>
      <c r="C304" s="119"/>
      <c r="D304" s="242"/>
      <c r="E304" s="19">
        <f t="shared" si="125"/>
        <v>0</v>
      </c>
      <c r="F304" s="148"/>
      <c r="G304" s="20">
        <f t="shared" si="126"/>
        <v>0</v>
      </c>
      <c r="H304" s="130"/>
      <c r="I304" s="119"/>
      <c r="J304" s="147"/>
      <c r="K304" s="20">
        <f t="shared" si="112"/>
        <v>0</v>
      </c>
      <c r="L304" s="136"/>
      <c r="M304" s="155"/>
      <c r="N304" s="21">
        <f t="shared" si="118"/>
        <v>0</v>
      </c>
      <c r="O304" s="237"/>
      <c r="P304" s="154"/>
      <c r="Q304" s="258">
        <f t="shared" si="113"/>
        <v>0</v>
      </c>
      <c r="R304" s="174"/>
      <c r="S304" s="113">
        <f t="shared" si="127"/>
        <v>0</v>
      </c>
      <c r="T304" s="186">
        <f t="shared" si="128"/>
        <v>0</v>
      </c>
      <c r="U304" s="3"/>
      <c r="V304" s="313"/>
    </row>
    <row r="305" spans="1:22" ht="18.75" x14ac:dyDescent="0.2">
      <c r="A305" s="31" t="s">
        <v>48</v>
      </c>
      <c r="B305" s="60"/>
      <c r="C305" s="119"/>
      <c r="D305" s="242"/>
      <c r="E305" s="19">
        <f t="shared" si="125"/>
        <v>0</v>
      </c>
      <c r="F305" s="148"/>
      <c r="G305" s="20">
        <f t="shared" si="126"/>
        <v>0</v>
      </c>
      <c r="H305" s="130"/>
      <c r="I305" s="119"/>
      <c r="J305" s="147"/>
      <c r="K305" s="20">
        <f t="shared" si="112"/>
        <v>0</v>
      </c>
      <c r="L305" s="136"/>
      <c r="M305" s="155"/>
      <c r="N305" s="21">
        <f t="shared" si="118"/>
        <v>0</v>
      </c>
      <c r="O305" s="237"/>
      <c r="P305" s="154"/>
      <c r="Q305" s="258">
        <f t="shared" si="113"/>
        <v>0</v>
      </c>
      <c r="R305" s="174"/>
      <c r="S305" s="113">
        <f t="shared" si="127"/>
        <v>0</v>
      </c>
      <c r="T305" s="186">
        <f t="shared" si="128"/>
        <v>0</v>
      </c>
      <c r="U305" s="3"/>
      <c r="V305" s="313"/>
    </row>
    <row r="306" spans="1:22" ht="18.75" x14ac:dyDescent="0.2">
      <c r="A306" s="86" t="s">
        <v>41</v>
      </c>
      <c r="B306" s="60"/>
      <c r="C306" s="119"/>
      <c r="D306" s="242"/>
      <c r="E306" s="19">
        <f t="shared" si="125"/>
        <v>0</v>
      </c>
      <c r="F306" s="148"/>
      <c r="G306" s="20">
        <f t="shared" si="126"/>
        <v>0</v>
      </c>
      <c r="H306" s="130"/>
      <c r="I306" s="119"/>
      <c r="J306" s="147"/>
      <c r="K306" s="20">
        <f t="shared" si="112"/>
        <v>0</v>
      </c>
      <c r="L306" s="136"/>
      <c r="M306" s="155"/>
      <c r="N306" s="21">
        <f t="shared" si="118"/>
        <v>0</v>
      </c>
      <c r="O306" s="237"/>
      <c r="P306" s="154"/>
      <c r="Q306" s="258">
        <f t="shared" si="113"/>
        <v>0</v>
      </c>
      <c r="R306" s="174"/>
      <c r="S306" s="113">
        <f t="shared" si="127"/>
        <v>0</v>
      </c>
      <c r="T306" s="186">
        <f t="shared" si="128"/>
        <v>0</v>
      </c>
      <c r="U306" s="3"/>
      <c r="V306" s="313"/>
    </row>
    <row r="307" spans="1:22" ht="18.75" x14ac:dyDescent="0.2">
      <c r="A307" s="85" t="s">
        <v>60</v>
      </c>
      <c r="B307" s="60"/>
      <c r="C307" s="119"/>
      <c r="D307" s="242"/>
      <c r="E307" s="19">
        <f t="shared" si="125"/>
        <v>0</v>
      </c>
      <c r="F307" s="148"/>
      <c r="G307" s="20">
        <f t="shared" si="126"/>
        <v>0</v>
      </c>
      <c r="H307" s="130"/>
      <c r="I307" s="119"/>
      <c r="J307" s="147"/>
      <c r="K307" s="20">
        <f t="shared" si="112"/>
        <v>0</v>
      </c>
      <c r="L307" s="136"/>
      <c r="M307" s="155"/>
      <c r="N307" s="21">
        <f t="shared" si="118"/>
        <v>0</v>
      </c>
      <c r="O307" s="237"/>
      <c r="P307" s="154"/>
      <c r="Q307" s="258">
        <f t="shared" si="113"/>
        <v>0</v>
      </c>
      <c r="R307" s="174"/>
      <c r="S307" s="113">
        <f t="shared" si="127"/>
        <v>0</v>
      </c>
      <c r="T307" s="186">
        <f t="shared" si="128"/>
        <v>0</v>
      </c>
      <c r="U307" s="3"/>
      <c r="V307" s="313"/>
    </row>
    <row r="308" spans="1:22" ht="18.75" x14ac:dyDescent="0.2">
      <c r="A308" s="85" t="s">
        <v>98</v>
      </c>
      <c r="B308" s="60"/>
      <c r="C308" s="119"/>
      <c r="D308" s="242"/>
      <c r="E308" s="19">
        <f t="shared" si="125"/>
        <v>0</v>
      </c>
      <c r="F308" s="148"/>
      <c r="G308" s="20">
        <f t="shared" si="126"/>
        <v>0</v>
      </c>
      <c r="H308" s="130"/>
      <c r="I308" s="119"/>
      <c r="J308" s="147"/>
      <c r="K308" s="20">
        <f t="shared" si="112"/>
        <v>0</v>
      </c>
      <c r="L308" s="136"/>
      <c r="M308" s="155"/>
      <c r="N308" s="21">
        <f t="shared" si="118"/>
        <v>0</v>
      </c>
      <c r="O308" s="237"/>
      <c r="P308" s="154"/>
      <c r="Q308" s="258">
        <f t="shared" si="113"/>
        <v>0</v>
      </c>
      <c r="R308" s="174"/>
      <c r="S308" s="113">
        <f t="shared" si="127"/>
        <v>0</v>
      </c>
      <c r="T308" s="186">
        <f t="shared" si="128"/>
        <v>0</v>
      </c>
      <c r="U308" s="3"/>
      <c r="V308" s="313"/>
    </row>
    <row r="309" spans="1:22" ht="18.75" x14ac:dyDescent="0.2">
      <c r="A309" s="87" t="s">
        <v>138</v>
      </c>
      <c r="B309" s="60"/>
      <c r="C309" s="120"/>
      <c r="D309" s="244"/>
      <c r="E309" s="19">
        <f t="shared" si="125"/>
        <v>0</v>
      </c>
      <c r="F309" s="148"/>
      <c r="G309" s="20">
        <f t="shared" si="126"/>
        <v>0</v>
      </c>
      <c r="H309" s="131"/>
      <c r="I309" s="120"/>
      <c r="J309" s="145"/>
      <c r="K309" s="20">
        <f t="shared" si="112"/>
        <v>0</v>
      </c>
      <c r="L309" s="138"/>
      <c r="M309" s="156"/>
      <c r="N309" s="21">
        <f t="shared" si="118"/>
        <v>0</v>
      </c>
      <c r="O309" s="238"/>
      <c r="P309" s="166"/>
      <c r="Q309" s="258">
        <f t="shared" si="113"/>
        <v>0</v>
      </c>
      <c r="R309" s="176"/>
      <c r="S309" s="113">
        <f t="shared" si="127"/>
        <v>0</v>
      </c>
      <c r="T309" s="186">
        <f t="shared" si="128"/>
        <v>0</v>
      </c>
      <c r="U309" s="4"/>
      <c r="V309" s="313"/>
    </row>
    <row r="310" spans="1:22" ht="18.75" x14ac:dyDescent="0.2">
      <c r="A310" s="88" t="s">
        <v>235</v>
      </c>
      <c r="B310" s="60"/>
      <c r="C310" s="120"/>
      <c r="D310" s="244"/>
      <c r="E310" s="19">
        <f t="shared" si="125"/>
        <v>0</v>
      </c>
      <c r="F310" s="148"/>
      <c r="G310" s="20">
        <f t="shared" si="126"/>
        <v>0</v>
      </c>
      <c r="H310" s="131"/>
      <c r="I310" s="120"/>
      <c r="J310" s="145"/>
      <c r="K310" s="20">
        <f t="shared" si="112"/>
        <v>0</v>
      </c>
      <c r="L310" s="138"/>
      <c r="M310" s="156"/>
      <c r="N310" s="21">
        <f t="shared" si="118"/>
        <v>0</v>
      </c>
      <c r="O310" s="238"/>
      <c r="P310" s="166"/>
      <c r="Q310" s="258">
        <f t="shared" si="113"/>
        <v>0</v>
      </c>
      <c r="R310" s="176"/>
      <c r="S310" s="113">
        <f t="shared" si="127"/>
        <v>0</v>
      </c>
      <c r="T310" s="186">
        <f t="shared" si="128"/>
        <v>0</v>
      </c>
      <c r="U310" s="4"/>
      <c r="V310" s="313"/>
    </row>
    <row r="311" spans="1:22" ht="37.5" x14ac:dyDescent="0.2">
      <c r="A311" s="196" t="s">
        <v>81</v>
      </c>
      <c r="B311" s="190">
        <v>266</v>
      </c>
      <c r="C311" s="214">
        <f t="shared" ref="C311" si="129">SUM(C312:C313)</f>
        <v>0</v>
      </c>
      <c r="D311" s="214">
        <v>0</v>
      </c>
      <c r="E311" s="214">
        <f t="shared" ref="E311:V311" si="130">SUM(E312:E313)</f>
        <v>0</v>
      </c>
      <c r="F311" s="214">
        <f t="shared" si="130"/>
        <v>0</v>
      </c>
      <c r="G311" s="214">
        <f t="shared" si="130"/>
        <v>0</v>
      </c>
      <c r="H311" s="214">
        <f t="shared" si="130"/>
        <v>0</v>
      </c>
      <c r="I311" s="214">
        <f t="shared" si="130"/>
        <v>0</v>
      </c>
      <c r="J311" s="214">
        <f t="shared" si="130"/>
        <v>0</v>
      </c>
      <c r="K311" s="214">
        <f t="shared" si="130"/>
        <v>0</v>
      </c>
      <c r="L311" s="214">
        <f t="shared" si="130"/>
        <v>0</v>
      </c>
      <c r="M311" s="214">
        <f t="shared" si="130"/>
        <v>0</v>
      </c>
      <c r="N311" s="214">
        <f t="shared" si="130"/>
        <v>0</v>
      </c>
      <c r="O311" s="214">
        <f t="shared" si="130"/>
        <v>0</v>
      </c>
      <c r="P311" s="214">
        <f t="shared" si="130"/>
        <v>0</v>
      </c>
      <c r="Q311" s="214">
        <f t="shared" si="130"/>
        <v>0</v>
      </c>
      <c r="R311" s="214">
        <f t="shared" si="130"/>
        <v>0</v>
      </c>
      <c r="S311" s="214">
        <f t="shared" si="130"/>
        <v>0</v>
      </c>
      <c r="T311" s="214">
        <f t="shared" si="130"/>
        <v>0</v>
      </c>
      <c r="U311" s="295">
        <f t="shared" si="130"/>
        <v>0</v>
      </c>
      <c r="V311" s="295">
        <f t="shared" si="130"/>
        <v>0</v>
      </c>
    </row>
    <row r="312" spans="1:22" ht="18.75" x14ac:dyDescent="0.2">
      <c r="A312" s="85" t="s">
        <v>137</v>
      </c>
      <c r="B312" s="52"/>
      <c r="C312" s="119"/>
      <c r="D312" s="242"/>
      <c r="E312" s="19">
        <f>C312-D312</f>
        <v>0</v>
      </c>
      <c r="F312" s="148"/>
      <c r="G312" s="20">
        <f>E312-F312</f>
        <v>0</v>
      </c>
      <c r="H312" s="130"/>
      <c r="I312" s="119"/>
      <c r="J312" s="147"/>
      <c r="K312" s="20">
        <f t="shared" si="112"/>
        <v>0</v>
      </c>
      <c r="L312" s="136"/>
      <c r="M312" s="155"/>
      <c r="N312" s="21">
        <f t="shared" si="118"/>
        <v>0</v>
      </c>
      <c r="O312" s="237"/>
      <c r="P312" s="154"/>
      <c r="Q312" s="258">
        <f t="shared" si="113"/>
        <v>0</v>
      </c>
      <c r="R312" s="174"/>
      <c r="S312" s="113">
        <f>I312-O312-R312</f>
        <v>0</v>
      </c>
      <c r="T312" s="186">
        <f>I312-L312</f>
        <v>0</v>
      </c>
      <c r="U312" s="3"/>
      <c r="V312" s="313"/>
    </row>
    <row r="313" spans="1:22" ht="18.75" x14ac:dyDescent="0.2">
      <c r="A313" s="85" t="s">
        <v>9</v>
      </c>
      <c r="B313" s="52"/>
      <c r="C313" s="119"/>
      <c r="D313" s="242"/>
      <c r="E313" s="19">
        <f>C313-D313</f>
        <v>0</v>
      </c>
      <c r="F313" s="148"/>
      <c r="G313" s="20">
        <f>E313-F313</f>
        <v>0</v>
      </c>
      <c r="H313" s="130"/>
      <c r="I313" s="119"/>
      <c r="J313" s="147"/>
      <c r="K313" s="20">
        <f t="shared" si="112"/>
        <v>0</v>
      </c>
      <c r="L313" s="136"/>
      <c r="M313" s="155"/>
      <c r="N313" s="21">
        <f t="shared" si="118"/>
        <v>0</v>
      </c>
      <c r="O313" s="237"/>
      <c r="P313" s="154"/>
      <c r="Q313" s="258">
        <f t="shared" si="113"/>
        <v>0</v>
      </c>
      <c r="R313" s="174"/>
      <c r="S313" s="113">
        <f>I313-O313-R313</f>
        <v>0</v>
      </c>
      <c r="T313" s="186">
        <f>I313-L313</f>
        <v>0</v>
      </c>
      <c r="U313" s="3"/>
      <c r="V313" s="313"/>
    </row>
    <row r="314" spans="1:22" ht="18.75" x14ac:dyDescent="0.25">
      <c r="A314" s="189" t="s">
        <v>76</v>
      </c>
      <c r="B314" s="205">
        <v>291</v>
      </c>
      <c r="C314" s="214">
        <f t="shared" ref="C314:V314" si="131">C315</f>
        <v>0</v>
      </c>
      <c r="D314" s="214">
        <v>0</v>
      </c>
      <c r="E314" s="214">
        <f t="shared" si="131"/>
        <v>0</v>
      </c>
      <c r="F314" s="214">
        <f t="shared" si="131"/>
        <v>0</v>
      </c>
      <c r="G314" s="214">
        <f t="shared" si="131"/>
        <v>0</v>
      </c>
      <c r="H314" s="214">
        <f t="shared" si="131"/>
        <v>0</v>
      </c>
      <c r="I314" s="214">
        <f t="shared" si="131"/>
        <v>0</v>
      </c>
      <c r="J314" s="214">
        <f t="shared" si="131"/>
        <v>0</v>
      </c>
      <c r="K314" s="214">
        <f t="shared" si="131"/>
        <v>0</v>
      </c>
      <c r="L314" s="214">
        <f t="shared" si="131"/>
        <v>0</v>
      </c>
      <c r="M314" s="214">
        <f t="shared" si="131"/>
        <v>0</v>
      </c>
      <c r="N314" s="214">
        <f t="shared" si="131"/>
        <v>0</v>
      </c>
      <c r="O314" s="214">
        <f t="shared" si="131"/>
        <v>0</v>
      </c>
      <c r="P314" s="214">
        <f t="shared" si="131"/>
        <v>0</v>
      </c>
      <c r="Q314" s="214">
        <f t="shared" si="131"/>
        <v>0</v>
      </c>
      <c r="R314" s="214">
        <f t="shared" si="131"/>
        <v>0</v>
      </c>
      <c r="S314" s="214">
        <f t="shared" si="131"/>
        <v>0</v>
      </c>
      <c r="T314" s="214">
        <f t="shared" si="131"/>
        <v>0</v>
      </c>
      <c r="U314" s="295">
        <f t="shared" si="131"/>
        <v>0</v>
      </c>
      <c r="V314" s="295">
        <f t="shared" si="131"/>
        <v>0</v>
      </c>
    </row>
    <row r="315" spans="1:22" ht="18.75" x14ac:dyDescent="0.2">
      <c r="A315" s="89" t="s">
        <v>23</v>
      </c>
      <c r="B315" s="64"/>
      <c r="C315" s="120"/>
      <c r="D315" s="244"/>
      <c r="E315" s="19">
        <f>C315-D315</f>
        <v>0</v>
      </c>
      <c r="F315" s="148"/>
      <c r="G315" s="20">
        <f>E315-F315</f>
        <v>0</v>
      </c>
      <c r="H315" s="131"/>
      <c r="I315" s="120"/>
      <c r="J315" s="145"/>
      <c r="K315" s="20">
        <f t="shared" si="112"/>
        <v>0</v>
      </c>
      <c r="L315" s="138"/>
      <c r="M315" s="156"/>
      <c r="N315" s="21">
        <f t="shared" si="118"/>
        <v>0</v>
      </c>
      <c r="O315" s="238"/>
      <c r="P315" s="166"/>
      <c r="Q315" s="258">
        <f t="shared" si="113"/>
        <v>0</v>
      </c>
      <c r="R315" s="176"/>
      <c r="S315" s="113">
        <f>I315-O315-R315</f>
        <v>0</v>
      </c>
      <c r="T315" s="186">
        <f>I315-L315</f>
        <v>0</v>
      </c>
      <c r="U315" s="4"/>
      <c r="V315" s="314"/>
    </row>
    <row r="316" spans="1:22" ht="18.75" x14ac:dyDescent="0.2">
      <c r="A316" s="207" t="s">
        <v>24</v>
      </c>
      <c r="B316" s="190">
        <v>310</v>
      </c>
      <c r="C316" s="231">
        <f t="shared" ref="C316" si="132">SUM(C317:C320)</f>
        <v>0</v>
      </c>
      <c r="D316" s="231">
        <v>0</v>
      </c>
      <c r="E316" s="231">
        <f t="shared" ref="E316:V316" si="133">SUM(E317:E320)</f>
        <v>0</v>
      </c>
      <c r="F316" s="231">
        <f t="shared" si="133"/>
        <v>0</v>
      </c>
      <c r="G316" s="231">
        <f t="shared" si="133"/>
        <v>0</v>
      </c>
      <c r="H316" s="231">
        <f t="shared" si="133"/>
        <v>0</v>
      </c>
      <c r="I316" s="231">
        <f t="shared" si="133"/>
        <v>0</v>
      </c>
      <c r="J316" s="231">
        <f t="shared" si="133"/>
        <v>0</v>
      </c>
      <c r="K316" s="231">
        <f t="shared" si="133"/>
        <v>0</v>
      </c>
      <c r="L316" s="231">
        <f t="shared" si="133"/>
        <v>0</v>
      </c>
      <c r="M316" s="231">
        <f t="shared" si="133"/>
        <v>0</v>
      </c>
      <c r="N316" s="231">
        <f t="shared" si="133"/>
        <v>0</v>
      </c>
      <c r="O316" s="231">
        <f t="shared" si="133"/>
        <v>0</v>
      </c>
      <c r="P316" s="231">
        <f t="shared" si="133"/>
        <v>0</v>
      </c>
      <c r="Q316" s="231">
        <f t="shared" si="133"/>
        <v>0</v>
      </c>
      <c r="R316" s="231">
        <f t="shared" si="133"/>
        <v>0</v>
      </c>
      <c r="S316" s="231">
        <f t="shared" si="133"/>
        <v>0</v>
      </c>
      <c r="T316" s="231">
        <f t="shared" si="133"/>
        <v>0</v>
      </c>
      <c r="U316" s="231">
        <f t="shared" si="133"/>
        <v>0</v>
      </c>
      <c r="V316" s="231">
        <f t="shared" si="133"/>
        <v>0</v>
      </c>
    </row>
    <row r="317" spans="1:22" ht="18.75" x14ac:dyDescent="0.2">
      <c r="A317" s="11" t="s">
        <v>233</v>
      </c>
      <c r="B317" s="60"/>
      <c r="C317" s="117"/>
      <c r="D317" s="245"/>
      <c r="E317" s="19">
        <f>C317-D317</f>
        <v>0</v>
      </c>
      <c r="F317" s="148"/>
      <c r="G317" s="20">
        <f>E317-F317</f>
        <v>0</v>
      </c>
      <c r="H317" s="132"/>
      <c r="I317" s="117"/>
      <c r="J317" s="150"/>
      <c r="K317" s="20">
        <f t="shared" si="112"/>
        <v>0</v>
      </c>
      <c r="L317" s="160"/>
      <c r="M317" s="150"/>
      <c r="N317" s="21">
        <f t="shared" si="118"/>
        <v>0</v>
      </c>
      <c r="O317" s="245"/>
      <c r="P317" s="150"/>
      <c r="Q317" s="258">
        <f t="shared" si="113"/>
        <v>0</v>
      </c>
      <c r="R317" s="177"/>
      <c r="S317" s="113">
        <f>I317-O317-R317</f>
        <v>0</v>
      </c>
      <c r="T317" s="186">
        <f>I317-L317</f>
        <v>0</v>
      </c>
      <c r="U317" s="41"/>
      <c r="V317" s="317"/>
    </row>
    <row r="318" spans="1:22" ht="18.75" x14ac:dyDescent="0.2">
      <c r="A318" s="11" t="s">
        <v>256</v>
      </c>
      <c r="B318" s="60"/>
      <c r="C318" s="117"/>
      <c r="D318" s="245"/>
      <c r="E318" s="19">
        <f>C318-D318</f>
        <v>0</v>
      </c>
      <c r="F318" s="148"/>
      <c r="G318" s="20">
        <f>E318-F318</f>
        <v>0</v>
      </c>
      <c r="H318" s="132"/>
      <c r="I318" s="117"/>
      <c r="J318" s="150"/>
      <c r="K318" s="20">
        <f t="shared" si="112"/>
        <v>0</v>
      </c>
      <c r="L318" s="160"/>
      <c r="M318" s="150"/>
      <c r="N318" s="21">
        <f t="shared" si="118"/>
        <v>0</v>
      </c>
      <c r="O318" s="245"/>
      <c r="P318" s="150"/>
      <c r="Q318" s="258">
        <f t="shared" si="113"/>
        <v>0</v>
      </c>
      <c r="R318" s="177"/>
      <c r="S318" s="113">
        <f>I318-O318-R318</f>
        <v>0</v>
      </c>
      <c r="T318" s="186">
        <f>I318-L318</f>
        <v>0</v>
      </c>
      <c r="U318" s="41"/>
      <c r="V318" s="317"/>
    </row>
    <row r="319" spans="1:22" ht="18.75" x14ac:dyDescent="0.2">
      <c r="A319" s="11" t="s">
        <v>232</v>
      </c>
      <c r="B319" s="60"/>
      <c r="C319" s="117"/>
      <c r="D319" s="245"/>
      <c r="E319" s="19">
        <f>C319-D319</f>
        <v>0</v>
      </c>
      <c r="F319" s="148"/>
      <c r="G319" s="20">
        <f>E319-F319</f>
        <v>0</v>
      </c>
      <c r="H319" s="132"/>
      <c r="I319" s="117"/>
      <c r="J319" s="150"/>
      <c r="K319" s="20">
        <f t="shared" si="112"/>
        <v>0</v>
      </c>
      <c r="L319" s="160"/>
      <c r="M319" s="150"/>
      <c r="N319" s="21">
        <f t="shared" si="118"/>
        <v>0</v>
      </c>
      <c r="O319" s="245"/>
      <c r="P319" s="150"/>
      <c r="Q319" s="258">
        <f t="shared" si="113"/>
        <v>0</v>
      </c>
      <c r="R319" s="177"/>
      <c r="S319" s="113">
        <f>I319-O319-R319</f>
        <v>0</v>
      </c>
      <c r="T319" s="186">
        <f>I319-L319</f>
        <v>0</v>
      </c>
      <c r="U319" s="41"/>
      <c r="V319" s="317"/>
    </row>
    <row r="320" spans="1:22" ht="18.75" x14ac:dyDescent="0.2">
      <c r="A320" s="11" t="s">
        <v>237</v>
      </c>
      <c r="B320" s="60"/>
      <c r="C320" s="117"/>
      <c r="D320" s="245"/>
      <c r="E320" s="19">
        <f>C320-D320</f>
        <v>0</v>
      </c>
      <c r="F320" s="148"/>
      <c r="G320" s="20">
        <f>E320-F320</f>
        <v>0</v>
      </c>
      <c r="H320" s="132"/>
      <c r="I320" s="117"/>
      <c r="J320" s="150"/>
      <c r="K320" s="20">
        <f t="shared" si="112"/>
        <v>0</v>
      </c>
      <c r="L320" s="160"/>
      <c r="M320" s="150"/>
      <c r="N320" s="21">
        <f t="shared" si="118"/>
        <v>0</v>
      </c>
      <c r="O320" s="245"/>
      <c r="P320" s="150"/>
      <c r="Q320" s="258">
        <f t="shared" si="113"/>
        <v>0</v>
      </c>
      <c r="R320" s="177"/>
      <c r="S320" s="113">
        <f>I320-O320-R320</f>
        <v>0</v>
      </c>
      <c r="T320" s="186">
        <f>I320-L320</f>
        <v>0</v>
      </c>
      <c r="U320" s="41"/>
      <c r="V320" s="317"/>
    </row>
    <row r="321" spans="1:22" ht="18.75" x14ac:dyDescent="0.2">
      <c r="A321" s="207" t="s">
        <v>78</v>
      </c>
      <c r="B321" s="190">
        <v>344</v>
      </c>
      <c r="C321" s="231"/>
      <c r="D321" s="231"/>
      <c r="E321" s="231">
        <f>C321-D321</f>
        <v>0</v>
      </c>
      <c r="F321" s="231"/>
      <c r="G321" s="231">
        <f>E321-F321</f>
        <v>0</v>
      </c>
      <c r="H321" s="231"/>
      <c r="I321" s="231"/>
      <c r="J321" s="231"/>
      <c r="K321" s="204">
        <f t="shared" si="112"/>
        <v>0</v>
      </c>
      <c r="L321" s="231"/>
      <c r="M321" s="231"/>
      <c r="N321" s="231"/>
      <c r="O321" s="231"/>
      <c r="P321" s="231"/>
      <c r="Q321" s="231">
        <f>O321-P321</f>
        <v>0</v>
      </c>
      <c r="R321" s="231"/>
      <c r="S321" s="231">
        <f>I321-O321-R321</f>
        <v>0</v>
      </c>
      <c r="T321" s="231">
        <f>I321-L321</f>
        <v>0</v>
      </c>
      <c r="U321" s="231"/>
      <c r="V321" s="231"/>
    </row>
    <row r="322" spans="1:22" ht="18.75" x14ac:dyDescent="0.2">
      <c r="A322" s="207" t="s">
        <v>26</v>
      </c>
      <c r="B322" s="190">
        <v>346</v>
      </c>
      <c r="C322" s="231">
        <f t="shared" ref="C322" si="134">SUM(C323:C326)</f>
        <v>0</v>
      </c>
      <c r="D322" s="231">
        <v>0</v>
      </c>
      <c r="E322" s="231">
        <f t="shared" ref="E322:V322" si="135">SUM(E323:E326)</f>
        <v>0</v>
      </c>
      <c r="F322" s="231">
        <f t="shared" si="135"/>
        <v>0</v>
      </c>
      <c r="G322" s="231">
        <f t="shared" si="135"/>
        <v>0</v>
      </c>
      <c r="H322" s="231">
        <f t="shared" si="135"/>
        <v>0</v>
      </c>
      <c r="I322" s="231">
        <f t="shared" si="135"/>
        <v>0</v>
      </c>
      <c r="J322" s="231">
        <f t="shared" si="135"/>
        <v>0</v>
      </c>
      <c r="K322" s="231">
        <f t="shared" si="135"/>
        <v>0</v>
      </c>
      <c r="L322" s="231">
        <f t="shared" si="135"/>
        <v>0</v>
      </c>
      <c r="M322" s="231">
        <f t="shared" si="135"/>
        <v>0</v>
      </c>
      <c r="N322" s="231">
        <f t="shared" si="135"/>
        <v>0</v>
      </c>
      <c r="O322" s="231">
        <f t="shared" si="135"/>
        <v>0</v>
      </c>
      <c r="P322" s="231">
        <f t="shared" si="135"/>
        <v>0</v>
      </c>
      <c r="Q322" s="231">
        <f t="shared" si="135"/>
        <v>0</v>
      </c>
      <c r="R322" s="231">
        <f t="shared" si="135"/>
        <v>0</v>
      </c>
      <c r="S322" s="231">
        <f t="shared" si="135"/>
        <v>0</v>
      </c>
      <c r="T322" s="231">
        <f t="shared" si="135"/>
        <v>0</v>
      </c>
      <c r="U322" s="231">
        <f t="shared" si="135"/>
        <v>0</v>
      </c>
      <c r="V322" s="231">
        <f t="shared" si="135"/>
        <v>0</v>
      </c>
    </row>
    <row r="323" spans="1:22" ht="18.75" x14ac:dyDescent="0.2">
      <c r="A323" s="11" t="s">
        <v>274</v>
      </c>
      <c r="B323" s="60"/>
      <c r="C323" s="119"/>
      <c r="D323" s="242"/>
      <c r="E323" s="19">
        <f>C323-D323</f>
        <v>0</v>
      </c>
      <c r="F323" s="148"/>
      <c r="G323" s="20">
        <f>E323-F323</f>
        <v>0</v>
      </c>
      <c r="H323" s="130"/>
      <c r="I323" s="119"/>
      <c r="J323" s="147"/>
      <c r="K323" s="20">
        <f t="shared" si="112"/>
        <v>0</v>
      </c>
      <c r="L323" s="136"/>
      <c r="M323" s="155"/>
      <c r="N323" s="21">
        <f>L323-M323</f>
        <v>0</v>
      </c>
      <c r="O323" s="237"/>
      <c r="P323" s="154"/>
      <c r="Q323" s="258">
        <f>O323-P323</f>
        <v>0</v>
      </c>
      <c r="R323" s="174"/>
      <c r="S323" s="113">
        <f>I323-O323-R323</f>
        <v>0</v>
      </c>
      <c r="T323" s="186">
        <f>I323-L323</f>
        <v>0</v>
      </c>
      <c r="U323" s="3"/>
      <c r="V323" s="313"/>
    </row>
    <row r="324" spans="1:22" ht="18.75" x14ac:dyDescent="0.3">
      <c r="A324" s="22" t="s">
        <v>258</v>
      </c>
      <c r="B324" s="60"/>
      <c r="C324" s="119"/>
      <c r="D324" s="242"/>
      <c r="E324" s="19">
        <f>C324-D324</f>
        <v>0</v>
      </c>
      <c r="F324" s="148"/>
      <c r="G324" s="20">
        <f>E324-F324</f>
        <v>0</v>
      </c>
      <c r="H324" s="130"/>
      <c r="I324" s="119"/>
      <c r="J324" s="147"/>
      <c r="K324" s="20">
        <f t="shared" si="112"/>
        <v>0</v>
      </c>
      <c r="L324" s="136"/>
      <c r="M324" s="155"/>
      <c r="N324" s="21">
        <f>L324-M324</f>
        <v>0</v>
      </c>
      <c r="O324" s="237"/>
      <c r="P324" s="154"/>
      <c r="Q324" s="258">
        <f>O324-P324</f>
        <v>0</v>
      </c>
      <c r="R324" s="174"/>
      <c r="S324" s="113">
        <f>I324-O324-R324</f>
        <v>0</v>
      </c>
      <c r="T324" s="186">
        <f>I324-L324</f>
        <v>0</v>
      </c>
      <c r="U324" s="3"/>
      <c r="V324" s="313"/>
    </row>
    <row r="325" spans="1:22" ht="18.75" x14ac:dyDescent="0.2">
      <c r="A325" s="11" t="s">
        <v>231</v>
      </c>
      <c r="B325" s="60"/>
      <c r="C325" s="119"/>
      <c r="D325" s="242"/>
      <c r="E325" s="19">
        <f>C325-D325</f>
        <v>0</v>
      </c>
      <c r="F325" s="148"/>
      <c r="G325" s="20">
        <f>E325-F325</f>
        <v>0</v>
      </c>
      <c r="H325" s="130"/>
      <c r="I325" s="119"/>
      <c r="J325" s="147"/>
      <c r="K325" s="20">
        <f t="shared" si="112"/>
        <v>0</v>
      </c>
      <c r="L325" s="136"/>
      <c r="M325" s="155"/>
      <c r="N325" s="21">
        <f>L325-M325</f>
        <v>0</v>
      </c>
      <c r="O325" s="237"/>
      <c r="P325" s="154"/>
      <c r="Q325" s="258">
        <f>O325-P325</f>
        <v>0</v>
      </c>
      <c r="R325" s="174"/>
      <c r="S325" s="113">
        <f>I325-O325-R325</f>
        <v>0</v>
      </c>
      <c r="T325" s="186">
        <f>I325-L325</f>
        <v>0</v>
      </c>
      <c r="U325" s="3"/>
      <c r="V325" s="313"/>
    </row>
    <row r="326" spans="1:22" ht="18.75" x14ac:dyDescent="0.2">
      <c r="A326" s="11" t="s">
        <v>170</v>
      </c>
      <c r="B326" s="60"/>
      <c r="C326" s="119"/>
      <c r="D326" s="242"/>
      <c r="E326" s="19">
        <f>C326-D326</f>
        <v>0</v>
      </c>
      <c r="F326" s="148"/>
      <c r="G326" s="20">
        <f>E326-F326</f>
        <v>0</v>
      </c>
      <c r="H326" s="130"/>
      <c r="I326" s="119"/>
      <c r="J326" s="147"/>
      <c r="K326" s="20">
        <f t="shared" si="112"/>
        <v>0</v>
      </c>
      <c r="L326" s="136"/>
      <c r="M326" s="155"/>
      <c r="N326" s="21">
        <f>L326-M326</f>
        <v>0</v>
      </c>
      <c r="O326" s="237"/>
      <c r="P326" s="154"/>
      <c r="Q326" s="258">
        <f>O326-P326</f>
        <v>0</v>
      </c>
      <c r="R326" s="174"/>
      <c r="S326" s="113">
        <f>I326-O326-R326</f>
        <v>0</v>
      </c>
      <c r="T326" s="186">
        <f>I326-L326</f>
        <v>0</v>
      </c>
      <c r="U326" s="3"/>
      <c r="V326" s="313"/>
    </row>
    <row r="327" spans="1:22" ht="18.75" x14ac:dyDescent="0.2">
      <c r="A327" s="91" t="s">
        <v>62</v>
      </c>
      <c r="B327" s="92"/>
      <c r="C327" s="93">
        <f t="shared" ref="C327" si="136">C280+C283+C286+C291+C295+C301+C311+C314+C316+C321+C322+C290</f>
        <v>0</v>
      </c>
      <c r="D327" s="93">
        <v>0</v>
      </c>
      <c r="E327" s="93">
        <f t="shared" ref="E327:H327" si="137">E280+E283+E286+E291+E295+E301+E311+E314+E316+E321+E322+E290</f>
        <v>0</v>
      </c>
      <c r="F327" s="93">
        <f t="shared" si="137"/>
        <v>0</v>
      </c>
      <c r="G327" s="93">
        <f t="shared" si="137"/>
        <v>0</v>
      </c>
      <c r="H327" s="93">
        <f t="shared" si="137"/>
        <v>0</v>
      </c>
      <c r="I327" s="93">
        <f t="shared" ref="I327:V327" si="138">I280+I283+I286+I291+I295+I301+I311+I314+I316+I321+I322+I290</f>
        <v>82026</v>
      </c>
      <c r="J327" s="93">
        <f t="shared" si="138"/>
        <v>0</v>
      </c>
      <c r="K327" s="93">
        <f t="shared" si="138"/>
        <v>82026</v>
      </c>
      <c r="L327" s="93">
        <f t="shared" si="138"/>
        <v>0</v>
      </c>
      <c r="M327" s="93">
        <f t="shared" si="138"/>
        <v>0</v>
      </c>
      <c r="N327" s="93">
        <f t="shared" si="138"/>
        <v>0</v>
      </c>
      <c r="O327" s="93">
        <f t="shared" si="138"/>
        <v>5859</v>
      </c>
      <c r="P327" s="93">
        <f t="shared" si="138"/>
        <v>0</v>
      </c>
      <c r="Q327" s="93">
        <f t="shared" si="138"/>
        <v>5859</v>
      </c>
      <c r="R327" s="93">
        <f t="shared" si="138"/>
        <v>0</v>
      </c>
      <c r="S327" s="93">
        <f t="shared" si="138"/>
        <v>76167</v>
      </c>
      <c r="T327" s="93">
        <f t="shared" si="138"/>
        <v>82026</v>
      </c>
      <c r="U327" s="93">
        <f t="shared" si="138"/>
        <v>0</v>
      </c>
      <c r="V327" s="93">
        <f t="shared" si="138"/>
        <v>0</v>
      </c>
    </row>
    <row r="328" spans="1:22" ht="43.5" customHeight="1" x14ac:dyDescent="0.2">
      <c r="A328" s="267" t="s">
        <v>261</v>
      </c>
      <c r="B328" s="322"/>
      <c r="C328" s="284"/>
      <c r="D328" s="284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  <c r="Q328" s="284"/>
      <c r="R328" s="284"/>
      <c r="S328" s="284"/>
      <c r="T328" s="284"/>
      <c r="U328" s="296"/>
      <c r="V328" s="285"/>
    </row>
    <row r="329" spans="1:22" ht="18.75" x14ac:dyDescent="0.2">
      <c r="A329" s="196" t="s">
        <v>22</v>
      </c>
      <c r="B329" s="282">
        <v>226</v>
      </c>
      <c r="C329" s="283">
        <f t="shared" ref="C329" si="139">SUM(C330:C332)</f>
        <v>0</v>
      </c>
      <c r="D329" s="283">
        <v>0</v>
      </c>
      <c r="E329" s="283">
        <f t="shared" ref="E329:V329" si="140">SUM(E330:E332)</f>
        <v>0</v>
      </c>
      <c r="F329" s="283">
        <f t="shared" si="140"/>
        <v>0</v>
      </c>
      <c r="G329" s="283">
        <f t="shared" si="140"/>
        <v>0</v>
      </c>
      <c r="H329" s="283">
        <f t="shared" si="140"/>
        <v>0</v>
      </c>
      <c r="I329" s="283">
        <f t="shared" si="140"/>
        <v>0</v>
      </c>
      <c r="J329" s="283">
        <f t="shared" si="140"/>
        <v>0</v>
      </c>
      <c r="K329" s="283">
        <f t="shared" si="140"/>
        <v>0</v>
      </c>
      <c r="L329" s="283">
        <f t="shared" si="140"/>
        <v>0</v>
      </c>
      <c r="M329" s="283">
        <f t="shared" si="140"/>
        <v>0</v>
      </c>
      <c r="N329" s="283">
        <f t="shared" si="140"/>
        <v>0</v>
      </c>
      <c r="O329" s="283">
        <f t="shared" si="140"/>
        <v>0</v>
      </c>
      <c r="P329" s="283">
        <f t="shared" si="140"/>
        <v>0</v>
      </c>
      <c r="Q329" s="283">
        <f t="shared" si="140"/>
        <v>0</v>
      </c>
      <c r="R329" s="283">
        <f t="shared" si="140"/>
        <v>0</v>
      </c>
      <c r="S329" s="283">
        <f t="shared" si="140"/>
        <v>0</v>
      </c>
      <c r="T329" s="283">
        <f t="shared" si="140"/>
        <v>0</v>
      </c>
      <c r="U329" s="297">
        <f t="shared" si="140"/>
        <v>0</v>
      </c>
      <c r="V329" s="297">
        <f t="shared" si="140"/>
        <v>0</v>
      </c>
    </row>
    <row r="330" spans="1:22" ht="75" x14ac:dyDescent="0.2">
      <c r="A330" s="94" t="s">
        <v>154</v>
      </c>
      <c r="B330" s="52"/>
      <c r="C330" s="116"/>
      <c r="D330" s="246"/>
      <c r="E330" s="19">
        <f>C330-D330</f>
        <v>0</v>
      </c>
      <c r="F330" s="148"/>
      <c r="G330" s="20">
        <f>E330-F330</f>
        <v>0</v>
      </c>
      <c r="H330" s="133"/>
      <c r="I330" s="116"/>
      <c r="J330" s="151"/>
      <c r="K330" s="20">
        <f>I330-J330</f>
        <v>0</v>
      </c>
      <c r="L330" s="161"/>
      <c r="M330" s="151"/>
      <c r="N330" s="21">
        <f>L330-M330</f>
        <v>0</v>
      </c>
      <c r="O330" s="246"/>
      <c r="P330" s="151"/>
      <c r="Q330" s="258">
        <f>O330-P330</f>
        <v>0</v>
      </c>
      <c r="R330" s="178"/>
      <c r="S330" s="114">
        <f>I330-O330-R330</f>
        <v>0</v>
      </c>
      <c r="T330" s="186">
        <f>I330-L330</f>
        <v>0</v>
      </c>
      <c r="U330" s="3"/>
      <c r="V330" s="313"/>
    </row>
    <row r="331" spans="1:22" ht="37.5" x14ac:dyDescent="0.2">
      <c r="A331" s="86" t="s">
        <v>182</v>
      </c>
      <c r="B331" s="52"/>
      <c r="C331" s="116"/>
      <c r="D331" s="246"/>
      <c r="E331" s="19">
        <f>C331-D331</f>
        <v>0</v>
      </c>
      <c r="F331" s="148"/>
      <c r="G331" s="20">
        <f>E331-F331</f>
        <v>0</v>
      </c>
      <c r="H331" s="133"/>
      <c r="I331" s="116"/>
      <c r="J331" s="151"/>
      <c r="K331" s="20">
        <f>I331-J331</f>
        <v>0</v>
      </c>
      <c r="L331" s="161"/>
      <c r="M331" s="151"/>
      <c r="N331" s="21">
        <f>L331-M331</f>
        <v>0</v>
      </c>
      <c r="O331" s="246"/>
      <c r="P331" s="151"/>
      <c r="Q331" s="258">
        <f>O331-P331</f>
        <v>0</v>
      </c>
      <c r="R331" s="178"/>
      <c r="S331" s="114">
        <f>I331-O331-R331</f>
        <v>0</v>
      </c>
      <c r="T331" s="186">
        <f>I331-L331</f>
        <v>0</v>
      </c>
      <c r="U331" s="3"/>
      <c r="V331" s="313"/>
    </row>
    <row r="332" spans="1:22" ht="37.5" x14ac:dyDescent="0.2">
      <c r="A332" s="86" t="s">
        <v>230</v>
      </c>
      <c r="B332" s="52"/>
      <c r="C332" s="116"/>
      <c r="D332" s="246"/>
      <c r="E332" s="19">
        <f>C332-D332</f>
        <v>0</v>
      </c>
      <c r="F332" s="148"/>
      <c r="G332" s="20">
        <f>E332-F332</f>
        <v>0</v>
      </c>
      <c r="H332" s="133"/>
      <c r="I332" s="116"/>
      <c r="J332" s="151"/>
      <c r="K332" s="20">
        <f>I332-J332</f>
        <v>0</v>
      </c>
      <c r="L332" s="161"/>
      <c r="M332" s="151"/>
      <c r="N332" s="21">
        <f>L332-M332</f>
        <v>0</v>
      </c>
      <c r="O332" s="246"/>
      <c r="P332" s="151"/>
      <c r="Q332" s="258">
        <f>O332-P332</f>
        <v>0</v>
      </c>
      <c r="R332" s="178"/>
      <c r="S332" s="114">
        <f>I332-O332-R332</f>
        <v>0</v>
      </c>
      <c r="T332" s="186">
        <f>I332-L332</f>
        <v>0</v>
      </c>
      <c r="U332" s="3"/>
      <c r="V332" s="313"/>
    </row>
    <row r="333" spans="1:22" ht="18.75" x14ac:dyDescent="0.2">
      <c r="A333" s="256" t="s">
        <v>250</v>
      </c>
      <c r="B333" s="96"/>
      <c r="C333" s="255">
        <f t="shared" ref="C333" si="141">C329</f>
        <v>0</v>
      </c>
      <c r="D333" s="255">
        <v>0</v>
      </c>
      <c r="E333" s="255">
        <f t="shared" ref="E333:V333" si="142">E329</f>
        <v>0</v>
      </c>
      <c r="F333" s="255">
        <f t="shared" si="142"/>
        <v>0</v>
      </c>
      <c r="G333" s="255">
        <f t="shared" si="142"/>
        <v>0</v>
      </c>
      <c r="H333" s="255">
        <f t="shared" si="142"/>
        <v>0</v>
      </c>
      <c r="I333" s="255">
        <f t="shared" si="142"/>
        <v>0</v>
      </c>
      <c r="J333" s="255">
        <f t="shared" si="142"/>
        <v>0</v>
      </c>
      <c r="K333" s="255">
        <f t="shared" si="142"/>
        <v>0</v>
      </c>
      <c r="L333" s="255">
        <f t="shared" si="142"/>
        <v>0</v>
      </c>
      <c r="M333" s="255">
        <f t="shared" si="142"/>
        <v>0</v>
      </c>
      <c r="N333" s="255">
        <f t="shared" si="142"/>
        <v>0</v>
      </c>
      <c r="O333" s="255">
        <f t="shared" si="142"/>
        <v>0</v>
      </c>
      <c r="P333" s="255">
        <f t="shared" si="142"/>
        <v>0</v>
      </c>
      <c r="Q333" s="255">
        <f t="shared" si="142"/>
        <v>0</v>
      </c>
      <c r="R333" s="255">
        <f t="shared" si="142"/>
        <v>0</v>
      </c>
      <c r="S333" s="255">
        <f t="shared" si="142"/>
        <v>0</v>
      </c>
      <c r="T333" s="255">
        <f t="shared" si="142"/>
        <v>0</v>
      </c>
      <c r="U333" s="255">
        <f t="shared" si="142"/>
        <v>0</v>
      </c>
      <c r="V333" s="255">
        <f t="shared" si="142"/>
        <v>0</v>
      </c>
    </row>
    <row r="334" spans="1:22" ht="18.75" x14ac:dyDescent="0.2">
      <c r="A334" s="254" t="s">
        <v>249</v>
      </c>
      <c r="B334" s="252"/>
      <c r="C334" s="253">
        <f t="shared" ref="C334" si="143">C205+C244+C260+C278+C327+C333</f>
        <v>227705.57</v>
      </c>
      <c r="D334" s="253">
        <v>227705.57</v>
      </c>
      <c r="E334" s="253">
        <f t="shared" ref="E334:V334" si="144">E205+E244+E260+E278+E327+E333</f>
        <v>0</v>
      </c>
      <c r="F334" s="253">
        <f t="shared" si="144"/>
        <v>0</v>
      </c>
      <c r="G334" s="253">
        <f t="shared" si="144"/>
        <v>0</v>
      </c>
      <c r="H334" s="253">
        <f t="shared" si="144"/>
        <v>13597</v>
      </c>
      <c r="I334" s="253">
        <f t="shared" si="144"/>
        <v>95623</v>
      </c>
      <c r="J334" s="253">
        <f t="shared" si="144"/>
        <v>0</v>
      </c>
      <c r="K334" s="253">
        <f t="shared" si="144"/>
        <v>95623</v>
      </c>
      <c r="L334" s="253">
        <f t="shared" si="144"/>
        <v>0</v>
      </c>
      <c r="M334" s="253">
        <f t="shared" si="144"/>
        <v>0</v>
      </c>
      <c r="N334" s="253">
        <f t="shared" si="144"/>
        <v>0</v>
      </c>
      <c r="O334" s="253">
        <f t="shared" si="144"/>
        <v>5859</v>
      </c>
      <c r="P334" s="253">
        <f t="shared" si="144"/>
        <v>0</v>
      </c>
      <c r="Q334" s="253">
        <f t="shared" si="144"/>
        <v>5859</v>
      </c>
      <c r="R334" s="253">
        <f t="shared" si="144"/>
        <v>0</v>
      </c>
      <c r="S334" s="253">
        <f t="shared" si="144"/>
        <v>89764</v>
      </c>
      <c r="T334" s="253">
        <f t="shared" si="144"/>
        <v>95623</v>
      </c>
      <c r="U334" s="253">
        <f t="shared" si="144"/>
        <v>0</v>
      </c>
      <c r="V334" s="253">
        <f t="shared" si="144"/>
        <v>0</v>
      </c>
    </row>
    <row r="335" spans="1:22" ht="19.5" thickBot="1" x14ac:dyDescent="0.25">
      <c r="A335" s="372" t="s">
        <v>28</v>
      </c>
      <c r="B335" s="373"/>
      <c r="C335" s="247">
        <f>C162+C334</f>
        <v>2406009.0299999998</v>
      </c>
      <c r="D335" s="247">
        <v>2370460.1399999997</v>
      </c>
      <c r="E335" s="247">
        <f t="shared" ref="E335:V335" si="145">E162+E334</f>
        <v>35548.890000000007</v>
      </c>
      <c r="F335" s="247">
        <f t="shared" si="145"/>
        <v>5876.02</v>
      </c>
      <c r="G335" s="247">
        <f t="shared" si="145"/>
        <v>29672.870000000006</v>
      </c>
      <c r="H335" s="247">
        <f t="shared" si="145"/>
        <v>1745308.24</v>
      </c>
      <c r="I335" s="247">
        <f t="shared" si="145"/>
        <v>1780757.13</v>
      </c>
      <c r="J335" s="247">
        <f t="shared" si="145"/>
        <v>0</v>
      </c>
      <c r="K335" s="247">
        <f t="shared" si="145"/>
        <v>1780757.13</v>
      </c>
      <c r="L335" s="247">
        <f t="shared" si="145"/>
        <v>517299.39999999997</v>
      </c>
      <c r="M335" s="247">
        <f t="shared" si="145"/>
        <v>0</v>
      </c>
      <c r="N335" s="247">
        <f t="shared" si="145"/>
        <v>517299.39999999997</v>
      </c>
      <c r="O335" s="247">
        <f t="shared" si="145"/>
        <v>253552.66</v>
      </c>
      <c r="P335" s="247">
        <f t="shared" si="145"/>
        <v>35448.89</v>
      </c>
      <c r="Q335" s="247">
        <f t="shared" si="145"/>
        <v>202047.15</v>
      </c>
      <c r="R335" s="247">
        <f t="shared" si="145"/>
        <v>0</v>
      </c>
      <c r="S335" s="247">
        <f t="shared" si="145"/>
        <v>1527204.47</v>
      </c>
      <c r="T335" s="247">
        <f t="shared" si="145"/>
        <v>1263457.73</v>
      </c>
      <c r="U335" s="247">
        <f t="shared" si="145"/>
        <v>0</v>
      </c>
      <c r="V335" s="247">
        <f t="shared" si="145"/>
        <v>0</v>
      </c>
    </row>
    <row r="336" spans="1:22" ht="18.75" x14ac:dyDescent="0.3">
      <c r="A336" s="13"/>
      <c r="B336" s="66"/>
      <c r="C336" s="66"/>
      <c r="D336" s="66"/>
      <c r="E336" s="66"/>
      <c r="F336" s="66"/>
      <c r="G336" s="66"/>
      <c r="H336" s="66"/>
      <c r="I336" s="67"/>
      <c r="J336" s="66"/>
      <c r="K336" s="66"/>
      <c r="L336" s="66"/>
      <c r="M336" s="66"/>
      <c r="N336" s="66"/>
      <c r="O336" s="66"/>
      <c r="P336" s="66"/>
      <c r="Q336" s="66"/>
      <c r="R336" s="66"/>
      <c r="S336" s="68"/>
      <c r="T336" s="66"/>
      <c r="U336" s="66"/>
    </row>
    <row r="337" spans="1:22" s="2" customFormat="1" ht="15.75" x14ac:dyDescent="0.25">
      <c r="A337" s="374"/>
      <c r="B337" s="374"/>
      <c r="C337" s="374"/>
      <c r="D337" s="374"/>
      <c r="E337" s="374"/>
      <c r="F337" s="374"/>
      <c r="G337" s="374"/>
      <c r="H337" s="374"/>
      <c r="I337" s="374"/>
      <c r="J337" s="374"/>
      <c r="K337" s="374"/>
      <c r="L337" s="374"/>
      <c r="M337" s="374"/>
      <c r="N337" s="374"/>
      <c r="O337" s="374"/>
      <c r="P337" s="374"/>
      <c r="Q337" s="374"/>
      <c r="R337" s="374"/>
      <c r="S337" s="374"/>
      <c r="T337" s="374"/>
      <c r="U337" s="69"/>
      <c r="V337" s="70"/>
    </row>
    <row r="338" spans="1:22" x14ac:dyDescent="0.25">
      <c r="G338" s="71"/>
      <c r="H338" s="71"/>
      <c r="I338" s="71"/>
      <c r="J338" s="71"/>
      <c r="K338" s="71"/>
      <c r="O338" s="72"/>
      <c r="P338" s="73"/>
      <c r="Q338" s="73"/>
      <c r="R338" s="74"/>
    </row>
    <row r="339" spans="1:22" ht="37.5" x14ac:dyDescent="0.3">
      <c r="A339" s="375" t="s">
        <v>99</v>
      </c>
      <c r="B339" s="375"/>
      <c r="C339" s="375"/>
      <c r="D339" s="375"/>
      <c r="E339" s="75"/>
      <c r="F339" s="75"/>
      <c r="G339" s="76" t="s">
        <v>29</v>
      </c>
      <c r="H339" s="76"/>
      <c r="I339" s="66"/>
      <c r="J339" s="66"/>
      <c r="K339" s="66"/>
      <c r="L339" s="66"/>
      <c r="M339" s="66"/>
      <c r="N339" s="66"/>
      <c r="O339" s="77">
        <f>O283+O244+O205+P162+O280</f>
        <v>41307.89</v>
      </c>
      <c r="P339" s="68"/>
      <c r="Q339" s="68"/>
      <c r="R339" s="66"/>
      <c r="S339" s="66"/>
      <c r="T339" s="66"/>
      <c r="U339" s="66"/>
    </row>
    <row r="340" spans="1:22" ht="18.75" x14ac:dyDescent="0.25">
      <c r="A340" s="15"/>
      <c r="B340" s="78"/>
      <c r="C340" s="78"/>
      <c r="D340" s="79"/>
      <c r="E340" s="79"/>
      <c r="F340" s="79"/>
      <c r="G340" s="79"/>
      <c r="H340" s="79"/>
    </row>
    <row r="341" spans="1:22" ht="15.75" x14ac:dyDescent="0.25">
      <c r="A341" s="27" t="e">
        <f>#REF!</f>
        <v>#REF!</v>
      </c>
      <c r="B341" s="78"/>
      <c r="C341" s="78"/>
      <c r="D341" s="79"/>
      <c r="E341" s="79"/>
      <c r="F341" s="79"/>
      <c r="G341" s="79"/>
      <c r="H341" s="79"/>
    </row>
    <row r="342" spans="1:22" ht="15.75" x14ac:dyDescent="0.25">
      <c r="A342" s="27" t="s">
        <v>30</v>
      </c>
      <c r="B342" s="78"/>
      <c r="C342" s="78"/>
      <c r="D342" s="79"/>
      <c r="E342" s="79"/>
      <c r="F342" s="79"/>
      <c r="G342" s="79"/>
      <c r="H342" s="79"/>
    </row>
    <row r="348" spans="1:22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</sheetData>
  <mergeCells count="25">
    <mergeCell ref="A335:B335"/>
    <mergeCell ref="A337:T337"/>
    <mergeCell ref="A339:D339"/>
    <mergeCell ref="D5:D6"/>
    <mergeCell ref="E5:E6"/>
    <mergeCell ref="A163:B163"/>
    <mergeCell ref="A206:B206"/>
    <mergeCell ref="A5:A6"/>
    <mergeCell ref="A245:B245"/>
    <mergeCell ref="V5:V6"/>
    <mergeCell ref="S5:S6"/>
    <mergeCell ref="A1:T1"/>
    <mergeCell ref="A2:T2"/>
    <mergeCell ref="A3:T3"/>
    <mergeCell ref="O4:S4"/>
    <mergeCell ref="H5:K5"/>
    <mergeCell ref="L5:N5"/>
    <mergeCell ref="O5:Q5"/>
    <mergeCell ref="G5:G6"/>
    <mergeCell ref="F5:F6"/>
    <mergeCell ref="C5:C6"/>
    <mergeCell ref="R5:R6"/>
    <mergeCell ref="B5:B6"/>
    <mergeCell ref="T5:T6"/>
    <mergeCell ref="U5:U6"/>
  </mergeCells>
  <phoneticPr fontId="0" type="noConversion"/>
  <pageMargins left="0.19685039370078741" right="0.17" top="0.15748031496062992" bottom="0.35433070866141736" header="0.51181102362204722" footer="0.23622047244094491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16+</vt:lpstr>
      <vt:lpstr>'16+'!Область_печати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2022-12-14T08:57:54Z</cp:lastPrinted>
  <dcterms:created xsi:type="dcterms:W3CDTF">1996-10-08T23:32:33Z</dcterms:created>
  <dcterms:modified xsi:type="dcterms:W3CDTF">2023-02-20T07:03:06Z</dcterms:modified>
</cp:coreProperties>
</file>